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xr:revisionPtr revIDLastSave="0" documentId="8_{E9BD1887-54E9-414C-B6E3-EC8A5ADEE07F}" xr6:coauthVersionLast="47" xr6:coauthVersionMax="47" xr10:uidLastSave="{00000000-0000-0000-0000-000000000000}"/>
  <bookViews>
    <workbookView xWindow="0" yWindow="0" windowWidth="16380" windowHeight="8190" tabRatio="500" xr2:uid="{00000000-000D-0000-FFFF-FFFF00000000}"/>
  </bookViews>
  <sheets>
    <sheet name="PLANILHA DE CAMPO" sheetId="1" r:id="rId1"/>
    <sheet name="NOTA DE SERVIÇO TERRAPLENAGEM" sheetId="2" r:id="rId2"/>
    <sheet name="PLANILHA ORÇAMENTÁRIA" sheetId="3" r:id="rId3"/>
    <sheet name="CFF" sheetId="4" r:id="rId4"/>
    <sheet name="LDI" sheetId="5" r:id="rId5"/>
    <sheet name="CPU EQUIPAMENTOS" sheetId="6" r:id="rId6"/>
    <sheet name="CPU TRANSPORTE" sheetId="7" r:id="rId7"/>
    <sheet name="1.1" sheetId="8" r:id="rId8"/>
    <sheet name="1.2" sheetId="9" r:id="rId9"/>
    <sheet name="1.3" sheetId="10" r:id="rId10"/>
    <sheet name="2.1" sheetId="11" r:id="rId11"/>
    <sheet name="2.2" sheetId="12" r:id="rId12"/>
    <sheet name="3.1" sheetId="13" r:id="rId13"/>
    <sheet name="4.1" sheetId="14" r:id="rId14"/>
    <sheet name="4.2" sheetId="15" r:id="rId15"/>
    <sheet name="5.1" sheetId="16" r:id="rId16"/>
    <sheet name="5.2" sheetId="17" r:id="rId17"/>
    <sheet name="5.3" sheetId="18" r:id="rId18"/>
    <sheet name="5.4" sheetId="19" r:id="rId19"/>
    <sheet name="5.5" sheetId="20" r:id="rId20"/>
    <sheet name="5.6" sheetId="21" r:id="rId21"/>
    <sheet name="5.7" sheetId="22" r:id="rId22"/>
    <sheet name="5.8" sheetId="23" r:id="rId23"/>
    <sheet name="6.1" sheetId="24" r:id="rId24"/>
    <sheet name="6.2" sheetId="25" r:id="rId25"/>
    <sheet name="6.3" sheetId="26" r:id="rId26"/>
    <sheet name="6.4" sheetId="27" r:id="rId27"/>
    <sheet name="6.5" sheetId="28" r:id="rId28"/>
    <sheet name="6.6" sheetId="29" r:id="rId29"/>
    <sheet name="7.1" sheetId="30" r:id="rId30"/>
    <sheet name="7.2" sheetId="31" r:id="rId31"/>
    <sheet name="7.3" sheetId="32" r:id="rId32"/>
    <sheet name="8.1" sheetId="33" r:id="rId33"/>
    <sheet name="8.2" sheetId="34" r:id="rId34"/>
  </sheets>
  <externalReferences>
    <externalReference r:id="rId35"/>
  </externalReferences>
  <calcPr calcId="191028"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L69" i="34" l="1"/>
  <c r="G67" i="34"/>
  <c r="L67" i="34"/>
  <c r="D67" i="34"/>
  <c r="B67" i="34"/>
  <c r="A67" i="34"/>
  <c r="G65" i="34"/>
  <c r="L65" i="34"/>
  <c r="D65" i="34"/>
  <c r="B65" i="34"/>
  <c r="A65" i="34"/>
  <c r="G63" i="34"/>
  <c r="L63" i="34"/>
  <c r="D63" i="34"/>
  <c r="B63" i="34"/>
  <c r="A63" i="34"/>
  <c r="G61" i="34"/>
  <c r="L61" i="34"/>
  <c r="D61" i="34"/>
  <c r="B61" i="34"/>
  <c r="A61" i="34"/>
  <c r="G59" i="34"/>
  <c r="L59" i="34"/>
  <c r="D59" i="34"/>
  <c r="B59" i="34"/>
  <c r="A59" i="34"/>
  <c r="G57" i="34"/>
  <c r="L57" i="34"/>
  <c r="D57" i="34"/>
  <c r="B57" i="34"/>
  <c r="A57" i="34"/>
  <c r="G55" i="34"/>
  <c r="L55" i="34"/>
  <c r="D55" i="34"/>
  <c r="B55" i="34"/>
  <c r="A55" i="34"/>
  <c r="L48" i="34"/>
  <c r="L47" i="34"/>
  <c r="L46" i="34"/>
  <c r="L45" i="34"/>
  <c r="L44" i="34"/>
  <c r="L42" i="34"/>
  <c r="L43" i="34"/>
  <c r="L50" i="34"/>
  <c r="G34" i="34"/>
  <c r="L30" i="34"/>
  <c r="L29" i="34"/>
  <c r="L31" i="34"/>
  <c r="L22" i="34"/>
  <c r="L23" i="34"/>
  <c r="L25" i="34"/>
  <c r="L33" i="34"/>
  <c r="L34" i="34"/>
  <c r="G58" i="33"/>
  <c r="L58" i="33"/>
  <c r="L62" i="33"/>
  <c r="L52" i="33"/>
  <c r="L51" i="33"/>
  <c r="C51" i="33"/>
  <c r="L50" i="33"/>
  <c r="L49" i="33"/>
  <c r="L48" i="33"/>
  <c r="L53" i="33"/>
  <c r="G40" i="33"/>
  <c r="L36" i="33"/>
  <c r="L35" i="33"/>
  <c r="L34" i="33"/>
  <c r="L33" i="33"/>
  <c r="L37" i="33"/>
  <c r="L28" i="33"/>
  <c r="L27" i="33"/>
  <c r="L26" i="33"/>
  <c r="L25" i="33"/>
  <c r="L24" i="33"/>
  <c r="L23" i="33"/>
  <c r="L22" i="33"/>
  <c r="L29" i="33"/>
  <c r="L39" i="33"/>
  <c r="L40" i="33"/>
  <c r="L62" i="32"/>
  <c r="G59" i="32"/>
  <c r="L59" i="32"/>
  <c r="L63" i="32"/>
  <c r="L53" i="32"/>
  <c r="L52" i="32"/>
  <c r="C52" i="32"/>
  <c r="L51" i="32"/>
  <c r="L50" i="32"/>
  <c r="L49" i="32"/>
  <c r="L54" i="32"/>
  <c r="G41" i="32"/>
  <c r="L37" i="32"/>
  <c r="L36" i="32"/>
  <c r="L35" i="32"/>
  <c r="L34" i="32"/>
  <c r="L33" i="32"/>
  <c r="L38" i="32"/>
  <c r="L28" i="32"/>
  <c r="L27" i="32"/>
  <c r="L26" i="32"/>
  <c r="L25" i="32"/>
  <c r="L24" i="32"/>
  <c r="L23" i="32"/>
  <c r="L22" i="32"/>
  <c r="L29" i="32"/>
  <c r="G58" i="31"/>
  <c r="L58" i="31"/>
  <c r="L62" i="31"/>
  <c r="L52" i="31"/>
  <c r="L51" i="31"/>
  <c r="C51" i="31"/>
  <c r="L50" i="31"/>
  <c r="L49" i="31"/>
  <c r="L48" i="31"/>
  <c r="L53" i="31"/>
  <c r="G40" i="31"/>
  <c r="L36" i="31"/>
  <c r="L35" i="31"/>
  <c r="L34" i="31"/>
  <c r="L33" i="31"/>
  <c r="L37" i="31"/>
  <c r="L28" i="31"/>
  <c r="L27" i="31"/>
  <c r="L26" i="31"/>
  <c r="L25" i="31"/>
  <c r="L24" i="31"/>
  <c r="L23" i="31"/>
  <c r="L22" i="31"/>
  <c r="L29" i="31"/>
  <c r="L39" i="31"/>
  <c r="L40" i="31"/>
  <c r="G57" i="30"/>
  <c r="L57" i="30"/>
  <c r="L61" i="30"/>
  <c r="L51" i="30"/>
  <c r="L50" i="30"/>
  <c r="L49" i="30"/>
  <c r="L48" i="30"/>
  <c r="L47" i="30"/>
  <c r="L52" i="30"/>
  <c r="G39" i="30"/>
  <c r="L35" i="30"/>
  <c r="L34" i="30"/>
  <c r="L33" i="30"/>
  <c r="L32" i="30"/>
  <c r="L36" i="30"/>
  <c r="L27" i="30"/>
  <c r="L26" i="30"/>
  <c r="L25" i="30"/>
  <c r="L24" i="30"/>
  <c r="L23" i="30"/>
  <c r="L22" i="30"/>
  <c r="L28" i="30"/>
  <c r="L55" i="29"/>
  <c r="L59" i="29"/>
  <c r="L49" i="29"/>
  <c r="L48" i="29"/>
  <c r="L47" i="29"/>
  <c r="L46" i="29"/>
  <c r="L45" i="29"/>
  <c r="L50" i="29"/>
  <c r="G37" i="29"/>
  <c r="L33" i="29"/>
  <c r="L32" i="29"/>
  <c r="L31" i="29"/>
  <c r="L30" i="29"/>
  <c r="L34" i="29"/>
  <c r="L25" i="29"/>
  <c r="L24" i="29"/>
  <c r="L23" i="29"/>
  <c r="L22" i="29"/>
  <c r="L26" i="29"/>
  <c r="L36" i="29"/>
  <c r="L37" i="29"/>
  <c r="L55" i="28"/>
  <c r="L59" i="28"/>
  <c r="L49" i="28"/>
  <c r="L48" i="28"/>
  <c r="L47" i="28"/>
  <c r="L46" i="28"/>
  <c r="L45" i="28"/>
  <c r="L50" i="28"/>
  <c r="G37" i="28"/>
  <c r="L33" i="28"/>
  <c r="L32" i="28"/>
  <c r="L31" i="28"/>
  <c r="L30" i="28"/>
  <c r="L34" i="28"/>
  <c r="L25" i="28"/>
  <c r="L24" i="28"/>
  <c r="L23" i="28"/>
  <c r="L22" i="28"/>
  <c r="L26" i="28"/>
  <c r="L36" i="28"/>
  <c r="L37" i="28"/>
  <c r="L55" i="27"/>
  <c r="L59" i="27"/>
  <c r="L49" i="27"/>
  <c r="L48" i="27"/>
  <c r="L47" i="27"/>
  <c r="L46" i="27"/>
  <c r="L45" i="27"/>
  <c r="L50" i="27"/>
  <c r="G37" i="27"/>
  <c r="L33" i="27"/>
  <c r="L32" i="27"/>
  <c r="L31" i="27"/>
  <c r="L30" i="27"/>
  <c r="L34" i="27"/>
  <c r="L25" i="27"/>
  <c r="L24" i="27"/>
  <c r="L23" i="27"/>
  <c r="L22" i="27"/>
  <c r="L26" i="27"/>
  <c r="L36" i="27"/>
  <c r="L37" i="27"/>
  <c r="G55" i="26"/>
  <c r="L55" i="26"/>
  <c r="L59" i="26"/>
  <c r="D55" i="26"/>
  <c r="B55" i="26"/>
  <c r="A55" i="26"/>
  <c r="L49" i="26"/>
  <c r="L48" i="26"/>
  <c r="L47" i="26"/>
  <c r="L46" i="26"/>
  <c r="L45" i="26"/>
  <c r="L44" i="26"/>
  <c r="L50" i="26"/>
  <c r="G36" i="26"/>
  <c r="L32" i="26"/>
  <c r="L31" i="26"/>
  <c r="L30" i="26"/>
  <c r="L29" i="26"/>
  <c r="L33" i="26"/>
  <c r="L24" i="26"/>
  <c r="L23" i="26"/>
  <c r="L22" i="26"/>
  <c r="L25" i="26"/>
  <c r="G55" i="25"/>
  <c r="L55" i="25"/>
  <c r="L59" i="25"/>
  <c r="D55" i="25"/>
  <c r="B55" i="25"/>
  <c r="A55" i="25"/>
  <c r="L49" i="25"/>
  <c r="L48" i="25"/>
  <c r="L47" i="25"/>
  <c r="L46" i="25"/>
  <c r="L45" i="25"/>
  <c r="L44" i="25"/>
  <c r="L50" i="25"/>
  <c r="G36" i="25"/>
  <c r="L32" i="25"/>
  <c r="L31" i="25"/>
  <c r="L30" i="25"/>
  <c r="L29" i="25"/>
  <c r="L33" i="25"/>
  <c r="L24" i="25"/>
  <c r="L23" i="25"/>
  <c r="L22" i="25"/>
  <c r="L25" i="25"/>
  <c r="L35" i="25"/>
  <c r="L36" i="25"/>
  <c r="G55" i="24"/>
  <c r="L55" i="24"/>
  <c r="L59" i="24"/>
  <c r="D55" i="24"/>
  <c r="B55" i="24"/>
  <c r="A55" i="24"/>
  <c r="L49" i="24"/>
  <c r="L48" i="24"/>
  <c r="L47" i="24"/>
  <c r="L46" i="24"/>
  <c r="L45" i="24"/>
  <c r="L44" i="24"/>
  <c r="L50" i="24"/>
  <c r="G36" i="24"/>
  <c r="L32" i="24"/>
  <c r="L31" i="24"/>
  <c r="L30" i="24"/>
  <c r="L29" i="24"/>
  <c r="L33" i="24"/>
  <c r="L24" i="24"/>
  <c r="L23" i="24"/>
  <c r="L22" i="24"/>
  <c r="L25" i="24"/>
  <c r="L52" i="23"/>
  <c r="L54" i="23"/>
  <c r="L46" i="23"/>
  <c r="L45" i="23"/>
  <c r="H44" i="23"/>
  <c r="L44" i="23"/>
  <c r="L43" i="23"/>
  <c r="L47" i="23"/>
  <c r="G35" i="23"/>
  <c r="L31" i="23"/>
  <c r="L30" i="23"/>
  <c r="L29" i="23"/>
  <c r="L32" i="23"/>
  <c r="L24" i="23"/>
  <c r="L23" i="23"/>
  <c r="L22" i="23"/>
  <c r="L25" i="23"/>
  <c r="L52" i="22"/>
  <c r="L54" i="22"/>
  <c r="L46" i="22"/>
  <c r="L45" i="22"/>
  <c r="L44" i="22"/>
  <c r="L43" i="22"/>
  <c r="L47" i="22"/>
  <c r="G35" i="22"/>
  <c r="L31" i="22"/>
  <c r="L30" i="22"/>
  <c r="L29" i="22"/>
  <c r="L32" i="22"/>
  <c r="L24" i="22"/>
  <c r="L23" i="22"/>
  <c r="L22" i="22"/>
  <c r="L25" i="22"/>
  <c r="L34" i="22"/>
  <c r="L35" i="22"/>
  <c r="L61" i="21"/>
  <c r="G58" i="21"/>
  <c r="L58" i="21"/>
  <c r="L62" i="21"/>
  <c r="L52" i="21"/>
  <c r="L51" i="21"/>
  <c r="C51" i="21"/>
  <c r="L50" i="21"/>
  <c r="L49" i="21"/>
  <c r="L48" i="21"/>
  <c r="L53" i="21"/>
  <c r="G40" i="21"/>
  <c r="L36" i="21"/>
  <c r="L35" i="21"/>
  <c r="L33" i="21"/>
  <c r="L37" i="21"/>
  <c r="L25" i="21"/>
  <c r="L24" i="21"/>
  <c r="L23" i="21"/>
  <c r="L22" i="21"/>
  <c r="L29" i="21"/>
  <c r="L39" i="21"/>
  <c r="L40" i="21"/>
  <c r="L61" i="20"/>
  <c r="G58" i="20"/>
  <c r="L58" i="20"/>
  <c r="L62" i="20"/>
  <c r="L52" i="20"/>
  <c r="L51" i="20"/>
  <c r="C51" i="20"/>
  <c r="L50" i="20"/>
  <c r="L49" i="20"/>
  <c r="L48" i="20"/>
  <c r="L53" i="20"/>
  <c r="G40" i="20"/>
  <c r="L36" i="20"/>
  <c r="L35" i="20"/>
  <c r="L34" i="20"/>
  <c r="L32" i="20"/>
  <c r="L37" i="20"/>
  <c r="L25" i="20"/>
  <c r="L24" i="20"/>
  <c r="L23" i="20"/>
  <c r="L22" i="20"/>
  <c r="L28" i="20"/>
  <c r="L39" i="20"/>
  <c r="L40" i="20"/>
  <c r="L61" i="19"/>
  <c r="G58" i="19"/>
  <c r="L58" i="19"/>
  <c r="L62" i="19"/>
  <c r="L52" i="19"/>
  <c r="L51" i="19"/>
  <c r="C51" i="19"/>
  <c r="L50" i="19"/>
  <c r="L48" i="19"/>
  <c r="L49" i="19"/>
  <c r="L53" i="19"/>
  <c r="G40" i="19"/>
  <c r="L36" i="19"/>
  <c r="L34" i="19"/>
  <c r="L33" i="19"/>
  <c r="L37" i="19"/>
  <c r="L25" i="19"/>
  <c r="L24" i="19"/>
  <c r="L23" i="19"/>
  <c r="L22" i="19"/>
  <c r="L29" i="19"/>
  <c r="L39" i="19"/>
  <c r="L40" i="19"/>
  <c r="L62" i="18"/>
  <c r="G59" i="18"/>
  <c r="L59" i="18"/>
  <c r="L63" i="18"/>
  <c r="L53" i="18"/>
  <c r="L52" i="18"/>
  <c r="C52" i="18"/>
  <c r="L51" i="18"/>
  <c r="L50" i="18"/>
  <c r="L49" i="18"/>
  <c r="L54" i="18"/>
  <c r="G41" i="18"/>
  <c r="L37" i="18"/>
  <c r="L36" i="18"/>
  <c r="L33" i="18"/>
  <c r="L38" i="18"/>
  <c r="L26" i="18"/>
  <c r="L25" i="18"/>
  <c r="L24" i="18"/>
  <c r="L23" i="18"/>
  <c r="L22" i="18"/>
  <c r="L29" i="18"/>
  <c r="L40" i="18"/>
  <c r="L41" i="18"/>
  <c r="L60" i="17"/>
  <c r="G58" i="17"/>
  <c r="L58" i="17"/>
  <c r="L61" i="17"/>
  <c r="L52" i="17"/>
  <c r="L51" i="17"/>
  <c r="C51" i="17"/>
  <c r="L50" i="17"/>
  <c r="L49" i="17"/>
  <c r="L48" i="17"/>
  <c r="L53" i="17"/>
  <c r="G40" i="17"/>
  <c r="L36" i="17"/>
  <c r="L35" i="17"/>
  <c r="L33" i="17"/>
  <c r="L37" i="17"/>
  <c r="L24" i="17"/>
  <c r="L23" i="17"/>
  <c r="L22" i="17"/>
  <c r="L29" i="17"/>
  <c r="L61" i="16"/>
  <c r="G58" i="16"/>
  <c r="L58" i="16"/>
  <c r="L62" i="16"/>
  <c r="L52" i="16"/>
  <c r="L51" i="16"/>
  <c r="C51" i="16"/>
  <c r="L50" i="16"/>
  <c r="L49" i="16"/>
  <c r="L48" i="16"/>
  <c r="L53" i="16"/>
  <c r="G40" i="16"/>
  <c r="F40" i="16"/>
  <c r="L36" i="16"/>
  <c r="L34" i="16"/>
  <c r="L33" i="16"/>
  <c r="L37" i="16"/>
  <c r="L25" i="16"/>
  <c r="L24" i="16"/>
  <c r="L23" i="16"/>
  <c r="L22" i="16"/>
  <c r="L29" i="16"/>
  <c r="L39" i="16"/>
  <c r="L40" i="16"/>
  <c r="L61" i="15"/>
  <c r="G58" i="15"/>
  <c r="L58" i="15"/>
  <c r="L62" i="15"/>
  <c r="L52" i="15"/>
  <c r="L51" i="15"/>
  <c r="C51" i="15"/>
  <c r="L50" i="15"/>
  <c r="L49" i="15"/>
  <c r="L48" i="15"/>
  <c r="L53" i="15"/>
  <c r="G40" i="15"/>
  <c r="L36" i="15"/>
  <c r="L35" i="15"/>
  <c r="L33" i="15"/>
  <c r="L37" i="15"/>
  <c r="L25" i="15"/>
  <c r="L24" i="15"/>
  <c r="L23" i="15"/>
  <c r="L22" i="15"/>
  <c r="L29" i="15"/>
  <c r="L39" i="15"/>
  <c r="L40" i="15"/>
  <c r="L61" i="14"/>
  <c r="G58" i="14"/>
  <c r="L58" i="14"/>
  <c r="L62" i="14"/>
  <c r="L52" i="14"/>
  <c r="L51" i="14"/>
  <c r="C51" i="14"/>
  <c r="L50" i="14"/>
  <c r="L49" i="14"/>
  <c r="L48" i="14"/>
  <c r="L53" i="14"/>
  <c r="G40" i="14"/>
  <c r="L36" i="14"/>
  <c r="L35" i="14"/>
  <c r="L33" i="14"/>
  <c r="L37" i="14"/>
  <c r="L25" i="14"/>
  <c r="L24" i="14"/>
  <c r="L23" i="14"/>
  <c r="L22" i="14"/>
  <c r="L29" i="14"/>
  <c r="L39" i="14"/>
  <c r="L40" i="14"/>
  <c r="L62" i="13"/>
  <c r="L59" i="13"/>
  <c r="L63" i="13"/>
  <c r="L53" i="13"/>
  <c r="L52" i="13"/>
  <c r="L51" i="13"/>
  <c r="L50" i="13"/>
  <c r="L49" i="13"/>
  <c r="L48" i="13"/>
  <c r="L54" i="13"/>
  <c r="G40" i="13"/>
  <c r="L36" i="13"/>
  <c r="L35" i="13"/>
  <c r="L34" i="13"/>
  <c r="L33" i="13"/>
  <c r="L32" i="13"/>
  <c r="L31" i="13"/>
  <c r="L30" i="13"/>
  <c r="L37" i="13"/>
  <c r="L25" i="13"/>
  <c r="L24" i="13"/>
  <c r="L23" i="13"/>
  <c r="L22" i="13"/>
  <c r="L26" i="13"/>
  <c r="L39" i="13"/>
  <c r="L40" i="13"/>
  <c r="L47" i="12"/>
  <c r="L50" i="12"/>
  <c r="G39" i="12"/>
  <c r="J34" i="12"/>
  <c r="L34" i="12"/>
  <c r="J33" i="12"/>
  <c r="L33" i="12"/>
  <c r="J30" i="12"/>
  <c r="L30" i="12"/>
  <c r="J29" i="12"/>
  <c r="L29" i="12"/>
  <c r="L49" i="11"/>
  <c r="H48" i="11"/>
  <c r="L48" i="11"/>
  <c r="G40" i="11"/>
  <c r="J34" i="11"/>
  <c r="L34" i="11"/>
  <c r="J33" i="11"/>
  <c r="L33" i="11"/>
  <c r="J32" i="11"/>
  <c r="L32" i="11"/>
  <c r="J31" i="11"/>
  <c r="L31" i="11"/>
  <c r="J30" i="11"/>
  <c r="L30" i="11"/>
  <c r="L37" i="11"/>
  <c r="L58" i="10"/>
  <c r="L56" i="10"/>
  <c r="L59" i="10"/>
  <c r="L50" i="10"/>
  <c r="L49" i="10"/>
  <c r="L48" i="10"/>
  <c r="L47" i="10"/>
  <c r="L46" i="10"/>
  <c r="L51" i="10"/>
  <c r="G38" i="10"/>
  <c r="L34" i="10"/>
  <c r="L33" i="10"/>
  <c r="L32" i="10"/>
  <c r="L31" i="10"/>
  <c r="L30" i="10"/>
  <c r="L35" i="10"/>
  <c r="L25" i="10"/>
  <c r="L24" i="10"/>
  <c r="L23" i="10"/>
  <c r="L22" i="10"/>
  <c r="L26" i="10"/>
  <c r="L37" i="10"/>
  <c r="L38" i="10"/>
  <c r="G80" i="9"/>
  <c r="L80" i="9"/>
  <c r="D80" i="9"/>
  <c r="B80" i="9"/>
  <c r="A80" i="9"/>
  <c r="G78" i="9"/>
  <c r="L78" i="9"/>
  <c r="D78" i="9"/>
  <c r="B78" i="9"/>
  <c r="A78" i="9"/>
  <c r="G76" i="9"/>
  <c r="L76" i="9"/>
  <c r="D76" i="9"/>
  <c r="B76" i="9"/>
  <c r="A76" i="9"/>
  <c r="G74" i="9"/>
  <c r="L74" i="9"/>
  <c r="D74" i="9"/>
  <c r="B74" i="9"/>
  <c r="A74" i="9"/>
  <c r="G72" i="9"/>
  <c r="L72" i="9"/>
  <c r="D72" i="9"/>
  <c r="B72" i="9"/>
  <c r="A72" i="9"/>
  <c r="G70" i="9"/>
  <c r="L70" i="9"/>
  <c r="D70" i="9"/>
  <c r="B70" i="9"/>
  <c r="A70" i="9"/>
  <c r="G68" i="9"/>
  <c r="L68" i="9"/>
  <c r="D68" i="9"/>
  <c r="B68" i="9"/>
  <c r="A68" i="9"/>
  <c r="G66" i="9"/>
  <c r="L66" i="9"/>
  <c r="D66" i="9"/>
  <c r="B66" i="9"/>
  <c r="A66" i="9"/>
  <c r="G64" i="9"/>
  <c r="L64" i="9"/>
  <c r="D64" i="9"/>
  <c r="B64" i="9"/>
  <c r="A64" i="9"/>
  <c r="G62" i="9"/>
  <c r="L62" i="9"/>
  <c r="D62" i="9"/>
  <c r="B62" i="9"/>
  <c r="A62" i="9"/>
  <c r="G60" i="9"/>
  <c r="L60" i="9"/>
  <c r="D60" i="9"/>
  <c r="B60" i="9"/>
  <c r="A60" i="9"/>
  <c r="L54" i="9"/>
  <c r="L53" i="9"/>
  <c r="L52" i="9"/>
  <c r="L51" i="9"/>
  <c r="L50" i="9"/>
  <c r="L49" i="9"/>
  <c r="L48" i="9"/>
  <c r="L47" i="9"/>
  <c r="L46" i="9"/>
  <c r="L45" i="9"/>
  <c r="L44" i="9"/>
  <c r="L43" i="9"/>
  <c r="L55" i="9"/>
  <c r="G35" i="9"/>
  <c r="L31" i="9"/>
  <c r="L30" i="9"/>
  <c r="L29" i="9"/>
  <c r="L28" i="9"/>
  <c r="L32" i="9"/>
  <c r="L22" i="9"/>
  <c r="L23" i="9"/>
  <c r="L24" i="9"/>
  <c r="L34" i="9"/>
  <c r="L35" i="9"/>
  <c r="H114" i="8"/>
  <c r="L114" i="8"/>
  <c r="H113" i="8"/>
  <c r="L113" i="8"/>
  <c r="H112" i="8"/>
  <c r="L112" i="8"/>
  <c r="H111" i="8"/>
  <c r="L111" i="8"/>
  <c r="H110" i="8"/>
  <c r="L110" i="8"/>
  <c r="H109" i="8"/>
  <c r="L109" i="8"/>
  <c r="H108" i="8"/>
  <c r="L108" i="8"/>
  <c r="H107" i="8"/>
  <c r="L107" i="8"/>
  <c r="H106" i="8"/>
  <c r="L106" i="8"/>
  <c r="H105" i="8"/>
  <c r="L105" i="8"/>
  <c r="H104" i="8"/>
  <c r="L104" i="8"/>
  <c r="H103" i="8"/>
  <c r="L103" i="8"/>
  <c r="H102" i="8"/>
  <c r="L102" i="8"/>
  <c r="H101" i="8"/>
  <c r="L101" i="8"/>
  <c r="H100" i="8"/>
  <c r="L100" i="8"/>
  <c r="L99" i="8"/>
  <c r="H97" i="8"/>
  <c r="L97" i="8"/>
  <c r="H96" i="8"/>
  <c r="L96" i="8"/>
  <c r="H95" i="8"/>
  <c r="L95" i="8"/>
  <c r="H94" i="8"/>
  <c r="L94" i="8"/>
  <c r="H93" i="8"/>
  <c r="L93" i="8"/>
  <c r="H92" i="8"/>
  <c r="L92" i="8"/>
  <c r="H91" i="8"/>
  <c r="L91" i="8"/>
  <c r="H88" i="8"/>
  <c r="L88" i="8"/>
  <c r="H87" i="8"/>
  <c r="L87" i="8"/>
  <c r="H86" i="8"/>
  <c r="L86" i="8"/>
  <c r="H85" i="8"/>
  <c r="L85" i="8"/>
  <c r="H84" i="8"/>
  <c r="L84" i="8"/>
  <c r="L83" i="8"/>
  <c r="H81" i="8"/>
  <c r="L81" i="8"/>
  <c r="H80" i="8"/>
  <c r="L80" i="8"/>
  <c r="H79" i="8"/>
  <c r="L79" i="8"/>
  <c r="H78" i="8"/>
  <c r="L78" i="8"/>
  <c r="H77" i="8"/>
  <c r="L77" i="8"/>
  <c r="H76" i="8"/>
  <c r="L76" i="8"/>
  <c r="L69" i="8"/>
  <c r="L68" i="8"/>
  <c r="L67" i="8"/>
  <c r="L66" i="8"/>
  <c r="L65" i="8"/>
  <c r="L64" i="8"/>
  <c r="L63" i="8"/>
  <c r="L61" i="8"/>
  <c r="L62" i="8"/>
  <c r="L60" i="8"/>
  <c r="L57" i="8"/>
  <c r="L56" i="8"/>
  <c r="L55" i="8"/>
  <c r="L54" i="8"/>
  <c r="L53" i="8"/>
  <c r="L52" i="8"/>
  <c r="L49" i="8"/>
  <c r="L48" i="8"/>
  <c r="L47" i="8"/>
  <c r="L46" i="8"/>
  <c r="L45" i="8"/>
  <c r="L44" i="8"/>
  <c r="L43" i="8"/>
  <c r="L42" i="8"/>
  <c r="L41" i="8"/>
  <c r="L40" i="8"/>
  <c r="L39" i="8"/>
  <c r="L38" i="8"/>
  <c r="L37" i="8"/>
  <c r="L36" i="8"/>
  <c r="L35" i="8"/>
  <c r="L33" i="8"/>
  <c r="L71" i="8"/>
  <c r="M32" i="7"/>
  <c r="O34" i="7"/>
  <c r="R34" i="7"/>
  <c r="S34" i="7"/>
  <c r="O33" i="7"/>
  <c r="Q33" i="7"/>
  <c r="O32" i="7"/>
  <c r="Q32" i="7"/>
  <c r="M29" i="7"/>
  <c r="O31" i="7"/>
  <c r="R31" i="7"/>
  <c r="S31" i="7"/>
  <c r="O30" i="7"/>
  <c r="Q30" i="7"/>
  <c r="O29" i="7"/>
  <c r="Q29" i="7"/>
  <c r="M26" i="7"/>
  <c r="O28" i="7"/>
  <c r="R28" i="7"/>
  <c r="S28" i="7"/>
  <c r="O27" i="7"/>
  <c r="Q27" i="7"/>
  <c r="O26" i="7"/>
  <c r="Q26" i="7"/>
  <c r="M23" i="7"/>
  <c r="O25" i="7"/>
  <c r="R25" i="7"/>
  <c r="S25" i="7"/>
  <c r="O24" i="7"/>
  <c r="Q24" i="7"/>
  <c r="O23" i="7"/>
  <c r="Q23" i="7"/>
  <c r="M20" i="7"/>
  <c r="O22" i="7"/>
  <c r="R22" i="7"/>
  <c r="S22" i="7"/>
  <c r="O21" i="7"/>
  <c r="Q21" i="7"/>
  <c r="O20" i="7"/>
  <c r="Q20" i="7"/>
  <c r="M17" i="7"/>
  <c r="O19" i="7"/>
  <c r="R19" i="7"/>
  <c r="S19" i="7"/>
  <c r="O18" i="7"/>
  <c r="Q18" i="7"/>
  <c r="O17" i="7"/>
  <c r="Q17" i="7"/>
  <c r="M14" i="7"/>
  <c r="O16" i="7"/>
  <c r="R16" i="7"/>
  <c r="S16" i="7"/>
  <c r="O15" i="7"/>
  <c r="Q15" i="7"/>
  <c r="O14" i="7"/>
  <c r="Q14" i="7"/>
  <c r="M11" i="7"/>
  <c r="O13" i="7"/>
  <c r="R13" i="7"/>
  <c r="S13" i="7"/>
  <c r="O12" i="7"/>
  <c r="Q12" i="7"/>
  <c r="O11" i="7"/>
  <c r="Q11" i="7"/>
  <c r="M8" i="7"/>
  <c r="O10" i="7"/>
  <c r="R10" i="7"/>
  <c r="S10" i="7"/>
  <c r="O9" i="7"/>
  <c r="Q9" i="7"/>
  <c r="O8" i="7"/>
  <c r="Q8" i="7"/>
  <c r="L69" i="6"/>
  <c r="R69" i="6"/>
  <c r="G69" i="6"/>
  <c r="M69" i="6"/>
  <c r="K69" i="6"/>
  <c r="N69" i="6"/>
  <c r="C69" i="6"/>
  <c r="B69" i="6"/>
  <c r="A69" i="6"/>
  <c r="G68" i="6"/>
  <c r="M68" i="6"/>
  <c r="C68" i="6"/>
  <c r="B68" i="6"/>
  <c r="L67" i="6"/>
  <c r="R67" i="6"/>
  <c r="G67" i="6"/>
  <c r="O67" i="6"/>
  <c r="M67" i="6"/>
  <c r="K67" i="6"/>
  <c r="P67" i="6"/>
  <c r="C67" i="6"/>
  <c r="B67" i="6"/>
  <c r="C66" i="6"/>
  <c r="B66" i="6"/>
  <c r="A66" i="6"/>
  <c r="G65" i="6"/>
  <c r="N65" i="6"/>
  <c r="P65" i="6"/>
  <c r="C65" i="6"/>
  <c r="B65" i="6"/>
  <c r="G64" i="6"/>
  <c r="P64" i="6"/>
  <c r="M64" i="6"/>
  <c r="N64" i="6"/>
  <c r="L64" i="6"/>
  <c r="R64" i="6"/>
  <c r="T64" i="6"/>
  <c r="K64" i="6"/>
  <c r="C64" i="6"/>
  <c r="B64" i="6"/>
  <c r="G63" i="6"/>
  <c r="P63" i="6"/>
  <c r="L63" i="6"/>
  <c r="R63" i="6"/>
  <c r="K63" i="6"/>
  <c r="M63" i="6"/>
  <c r="C63" i="6"/>
  <c r="B63" i="6"/>
  <c r="C62" i="6"/>
  <c r="B62" i="6"/>
  <c r="A62" i="6"/>
  <c r="L61" i="6"/>
  <c r="R61" i="6"/>
  <c r="G61" i="6"/>
  <c r="P61" i="6"/>
  <c r="M61" i="6"/>
  <c r="K61" i="6"/>
  <c r="N61" i="6"/>
  <c r="C61" i="6"/>
  <c r="B61" i="6"/>
  <c r="A61" i="6"/>
  <c r="L60" i="6"/>
  <c r="R60" i="6"/>
  <c r="G60" i="6"/>
  <c r="O60" i="6"/>
  <c r="K60" i="6"/>
  <c r="P60" i="6"/>
  <c r="C60" i="6"/>
  <c r="B60" i="6"/>
  <c r="A60" i="6"/>
  <c r="G59" i="6"/>
  <c r="N59" i="6"/>
  <c r="M59" i="6"/>
  <c r="T59" i="6"/>
  <c r="P59" i="6"/>
  <c r="C59" i="6"/>
  <c r="B59" i="6"/>
  <c r="G58" i="6"/>
  <c r="P58" i="6"/>
  <c r="O58" i="6"/>
  <c r="M58" i="6"/>
  <c r="L58" i="6"/>
  <c r="R58" i="6"/>
  <c r="K58" i="6"/>
  <c r="N58" i="6"/>
  <c r="C58" i="6"/>
  <c r="B58" i="6"/>
  <c r="C57" i="6"/>
  <c r="B57" i="6"/>
  <c r="A57" i="6"/>
  <c r="G56" i="6"/>
  <c r="M56" i="6"/>
  <c r="C56" i="6"/>
  <c r="B56" i="6"/>
  <c r="L55" i="6"/>
  <c r="R55" i="6"/>
  <c r="G55" i="6"/>
  <c r="O55" i="6"/>
  <c r="K55" i="6"/>
  <c r="P55" i="6"/>
  <c r="C55" i="6"/>
  <c r="B55" i="6"/>
  <c r="C54" i="6"/>
  <c r="B54" i="6"/>
  <c r="A54" i="6"/>
  <c r="G53" i="6"/>
  <c r="P53" i="6"/>
  <c r="N53" i="6"/>
  <c r="M53" i="6"/>
  <c r="T53" i="6"/>
  <c r="C53" i="6"/>
  <c r="B53" i="6"/>
  <c r="A53" i="6"/>
  <c r="G52" i="6"/>
  <c r="M52" i="6"/>
  <c r="C52" i="6"/>
  <c r="B52" i="6"/>
  <c r="A52" i="6"/>
  <c r="G51" i="6"/>
  <c r="M51" i="6"/>
  <c r="N51" i="6"/>
  <c r="T51" i="6"/>
  <c r="C51" i="6"/>
  <c r="B51" i="6"/>
  <c r="A51" i="6"/>
  <c r="G50" i="6"/>
  <c r="P50" i="6"/>
  <c r="C50" i="6"/>
  <c r="B50" i="6"/>
  <c r="G49" i="6"/>
  <c r="P49" i="6"/>
  <c r="O49" i="6"/>
  <c r="M49" i="6"/>
  <c r="N49" i="6"/>
  <c r="L49" i="6"/>
  <c r="R49" i="6"/>
  <c r="T49" i="6"/>
  <c r="K49" i="6"/>
  <c r="C49" i="6"/>
  <c r="B49" i="6"/>
  <c r="C48" i="6"/>
  <c r="B48" i="6"/>
  <c r="A48" i="6"/>
  <c r="G47" i="6"/>
  <c r="N47" i="6"/>
  <c r="M47" i="6"/>
  <c r="C47" i="6"/>
  <c r="B47" i="6"/>
  <c r="L46" i="6"/>
  <c r="R46" i="6"/>
  <c r="G46" i="6"/>
  <c r="O46" i="6"/>
  <c r="M46" i="6"/>
  <c r="K46" i="6"/>
  <c r="P46" i="6"/>
  <c r="C46" i="6"/>
  <c r="B46" i="6"/>
  <c r="C45" i="6"/>
  <c r="B45" i="6"/>
  <c r="A45" i="6"/>
  <c r="L44" i="6"/>
  <c r="R44" i="6"/>
  <c r="K44" i="6"/>
  <c r="G44" i="6"/>
  <c r="M44" i="6"/>
  <c r="C44" i="6"/>
  <c r="B44" i="6"/>
  <c r="A44" i="6"/>
  <c r="L43" i="6"/>
  <c r="R43" i="6"/>
  <c r="G43" i="6"/>
  <c r="P43" i="6"/>
  <c r="M43" i="6"/>
  <c r="K43" i="6"/>
  <c r="N43" i="6"/>
  <c r="T43" i="6"/>
  <c r="C43" i="6"/>
  <c r="B43" i="6"/>
  <c r="A43" i="6"/>
  <c r="L42" i="6"/>
  <c r="R42" i="6"/>
  <c r="K42" i="6"/>
  <c r="G42" i="6"/>
  <c r="P42" i="6"/>
  <c r="C42" i="6"/>
  <c r="B42" i="6"/>
  <c r="A42" i="6"/>
  <c r="G41" i="6"/>
  <c r="P41" i="6"/>
  <c r="M41" i="6"/>
  <c r="N41" i="6"/>
  <c r="C41" i="6"/>
  <c r="B41" i="6"/>
  <c r="L40" i="6"/>
  <c r="R40" i="6"/>
  <c r="G40" i="6"/>
  <c r="N40" i="6"/>
  <c r="K40" i="6"/>
  <c r="C40" i="6"/>
  <c r="B40" i="6"/>
  <c r="C39" i="6"/>
  <c r="B39" i="6"/>
  <c r="A39" i="6"/>
  <c r="G38" i="6"/>
  <c r="M38" i="6"/>
  <c r="N38" i="6"/>
  <c r="T38" i="6"/>
  <c r="P38" i="6"/>
  <c r="S38" i="6"/>
  <c r="C38" i="6"/>
  <c r="B38" i="6"/>
  <c r="A38" i="6"/>
  <c r="G37" i="6"/>
  <c r="N37" i="6"/>
  <c r="M37" i="6"/>
  <c r="C37" i="6"/>
  <c r="B37" i="6"/>
  <c r="A37" i="6"/>
  <c r="L36" i="6"/>
  <c r="R36" i="6"/>
  <c r="G36" i="6"/>
  <c r="P36" i="6"/>
  <c r="M36" i="6"/>
  <c r="K36" i="6"/>
  <c r="N36" i="6"/>
  <c r="C36" i="6"/>
  <c r="B36" i="6"/>
  <c r="A36" i="6"/>
  <c r="G35" i="6"/>
  <c r="N35" i="6"/>
  <c r="L35" i="6"/>
  <c r="R35" i="6"/>
  <c r="K35" i="6"/>
  <c r="C35" i="6"/>
  <c r="B35" i="6"/>
  <c r="A35" i="6"/>
  <c r="L34" i="6"/>
  <c r="R34" i="6"/>
  <c r="G34" i="6"/>
  <c r="P34" i="6"/>
  <c r="M34" i="6"/>
  <c r="N34" i="6"/>
  <c r="T34" i="6"/>
  <c r="K34" i="6"/>
  <c r="C34" i="6"/>
  <c r="B34" i="6"/>
  <c r="A34" i="6"/>
  <c r="G33" i="6"/>
  <c r="P33" i="6"/>
  <c r="M33" i="6"/>
  <c r="L33" i="6"/>
  <c r="R33" i="6"/>
  <c r="K33" i="6"/>
  <c r="N33" i="6"/>
  <c r="S33" i="6"/>
  <c r="C33" i="6"/>
  <c r="B33" i="6"/>
  <c r="A33" i="6"/>
  <c r="G32" i="6"/>
  <c r="N32" i="6"/>
  <c r="L32" i="6"/>
  <c r="R32" i="6"/>
  <c r="K32" i="6"/>
  <c r="C32" i="6"/>
  <c r="B32" i="6"/>
  <c r="A32" i="6"/>
  <c r="L31" i="6"/>
  <c r="R31" i="6"/>
  <c r="G31" i="6"/>
  <c r="M31" i="6"/>
  <c r="N31" i="6"/>
  <c r="T31" i="6"/>
  <c r="K31" i="6"/>
  <c r="C31" i="6"/>
  <c r="B31" i="6"/>
  <c r="A31" i="6"/>
  <c r="G30" i="6"/>
  <c r="P30" i="6"/>
  <c r="M30" i="6"/>
  <c r="L30" i="6"/>
  <c r="R30" i="6"/>
  <c r="K30" i="6"/>
  <c r="N30" i="6"/>
  <c r="C30" i="6"/>
  <c r="B30" i="6"/>
  <c r="A30" i="6"/>
  <c r="G29" i="6"/>
  <c r="P29" i="6"/>
  <c r="M29" i="6"/>
  <c r="N29" i="6"/>
  <c r="L29" i="6"/>
  <c r="R29" i="6"/>
  <c r="S29" i="6"/>
  <c r="K29" i="6"/>
  <c r="C29" i="6"/>
  <c r="B29" i="6"/>
  <c r="A29" i="6"/>
  <c r="L28" i="6"/>
  <c r="R28" i="6"/>
  <c r="K28" i="6"/>
  <c r="G28" i="6"/>
  <c r="N28" i="6"/>
  <c r="C28" i="6"/>
  <c r="B28" i="6"/>
  <c r="A28" i="6"/>
  <c r="L27" i="6"/>
  <c r="R27" i="6"/>
  <c r="G27" i="6"/>
  <c r="P27" i="6"/>
  <c r="M27" i="6"/>
  <c r="N27" i="6"/>
  <c r="T27" i="6"/>
  <c r="K27" i="6"/>
  <c r="C27" i="6"/>
  <c r="B27" i="6"/>
  <c r="A27" i="6"/>
  <c r="G26" i="6"/>
  <c r="P26" i="6"/>
  <c r="M26" i="6"/>
  <c r="N26" i="6"/>
  <c r="C26" i="6"/>
  <c r="B26" i="6"/>
  <c r="A26" i="6"/>
  <c r="H5" i="6"/>
  <c r="Q25" i="6"/>
  <c r="L25" i="6"/>
  <c r="R25" i="6"/>
  <c r="K25" i="6"/>
  <c r="G25" i="6"/>
  <c r="N25" i="6"/>
  <c r="C25" i="6"/>
  <c r="B25" i="6"/>
  <c r="A25" i="6"/>
  <c r="G24" i="6"/>
  <c r="P24" i="6"/>
  <c r="N24" i="6"/>
  <c r="M24" i="6"/>
  <c r="T24" i="6"/>
  <c r="C24" i="6"/>
  <c r="B24" i="6"/>
  <c r="A24" i="6"/>
  <c r="G23" i="6"/>
  <c r="P23" i="6"/>
  <c r="M23" i="6"/>
  <c r="N23" i="6"/>
  <c r="C23" i="6"/>
  <c r="B23" i="6"/>
  <c r="A23" i="6"/>
  <c r="L22" i="6"/>
  <c r="R22" i="6"/>
  <c r="K22" i="6"/>
  <c r="G22" i="6"/>
  <c r="N22" i="6"/>
  <c r="C22" i="6"/>
  <c r="B22" i="6"/>
  <c r="A22" i="6"/>
  <c r="L21" i="6"/>
  <c r="R21" i="6"/>
  <c r="G21" i="6"/>
  <c r="P21" i="6"/>
  <c r="M21" i="6"/>
  <c r="K21" i="6"/>
  <c r="N21" i="6"/>
  <c r="C21" i="6"/>
  <c r="B21" i="6"/>
  <c r="A21" i="6"/>
  <c r="G20" i="6"/>
  <c r="N20" i="6"/>
  <c r="C20" i="6"/>
  <c r="B20" i="6"/>
  <c r="L19" i="6"/>
  <c r="R19" i="6"/>
  <c r="G19" i="6"/>
  <c r="O19" i="6"/>
  <c r="M19" i="6"/>
  <c r="K19" i="6"/>
  <c r="P19" i="6"/>
  <c r="C19" i="6"/>
  <c r="B19" i="6"/>
  <c r="C18" i="6"/>
  <c r="B18" i="6"/>
  <c r="A18" i="6"/>
  <c r="G17" i="6"/>
  <c r="N17" i="6"/>
  <c r="P17" i="6"/>
  <c r="C17" i="6"/>
  <c r="B17" i="6"/>
  <c r="A17" i="6"/>
  <c r="L16" i="6"/>
  <c r="R16" i="6"/>
  <c r="G16" i="6"/>
  <c r="P16" i="6"/>
  <c r="M16" i="6"/>
  <c r="K16" i="6"/>
  <c r="N16" i="6"/>
  <c r="C16" i="6"/>
  <c r="B16" i="6"/>
  <c r="A16" i="6"/>
  <c r="G15" i="6"/>
  <c r="P15" i="6"/>
  <c r="M15" i="6"/>
  <c r="L15" i="6"/>
  <c r="R15" i="6"/>
  <c r="K15" i="6"/>
  <c r="N15" i="6"/>
  <c r="C15" i="6"/>
  <c r="B15" i="6"/>
  <c r="A15" i="6"/>
  <c r="G14" i="6"/>
  <c r="N14" i="6"/>
  <c r="C14" i="6"/>
  <c r="B14" i="6"/>
  <c r="A14" i="6"/>
  <c r="Q13" i="6"/>
  <c r="G13" i="6"/>
  <c r="N13" i="6"/>
  <c r="P13" i="6"/>
  <c r="C13" i="6"/>
  <c r="B13" i="6"/>
  <c r="A13" i="6"/>
  <c r="G12" i="6"/>
  <c r="N12" i="6"/>
  <c r="C12" i="6"/>
  <c r="B12" i="6"/>
  <c r="A12" i="6"/>
  <c r="G11" i="6"/>
  <c r="P11" i="6"/>
  <c r="M11" i="6"/>
  <c r="N11" i="6"/>
  <c r="C11" i="6"/>
  <c r="B11" i="6"/>
  <c r="A11" i="6"/>
  <c r="G10" i="6"/>
  <c r="N10" i="6"/>
  <c r="P10" i="6"/>
  <c r="C10" i="6"/>
  <c r="B10" i="6"/>
  <c r="A10" i="6"/>
  <c r="L5" i="6"/>
  <c r="Q53" i="6"/>
  <c r="D5" i="6"/>
  <c r="Q42" i="6"/>
  <c r="H34" i="5"/>
  <c r="D25" i="5"/>
  <c r="I25" i="5"/>
  <c r="J25" i="5"/>
  <c r="J24" i="5"/>
  <c r="I23" i="5"/>
  <c r="J23" i="5"/>
  <c r="I22" i="5"/>
  <c r="J22" i="5"/>
  <c r="I21" i="5"/>
  <c r="J21" i="5"/>
  <c r="J17" i="5"/>
  <c r="J18" i="5"/>
  <c r="I18" i="5"/>
  <c r="H18" i="5"/>
  <c r="G18" i="5"/>
  <c r="F18" i="5"/>
  <c r="I14" i="5"/>
  <c r="H14" i="5"/>
  <c r="G14" i="5"/>
  <c r="F14" i="5"/>
  <c r="J13" i="5"/>
  <c r="J12" i="5"/>
  <c r="J11" i="5"/>
  <c r="J10" i="5"/>
  <c r="J14" i="5"/>
  <c r="G50" i="4"/>
  <c r="G49" i="4"/>
  <c r="L39" i="4"/>
  <c r="K39" i="4"/>
  <c r="J39" i="4"/>
  <c r="I39" i="4"/>
  <c r="L36" i="4"/>
  <c r="K36" i="4"/>
  <c r="J36" i="4"/>
  <c r="I36" i="4"/>
  <c r="B35" i="4"/>
  <c r="L33" i="4"/>
  <c r="K33" i="4"/>
  <c r="J33" i="4"/>
  <c r="I33" i="4"/>
  <c r="I12" i="4"/>
  <c r="I15" i="4"/>
  <c r="I18" i="4"/>
  <c r="I21" i="4"/>
  <c r="I24" i="4"/>
  <c r="I27" i="4"/>
  <c r="I30" i="4"/>
  <c r="I38" i="4"/>
  <c r="B32" i="4"/>
  <c r="L30" i="4"/>
  <c r="K30" i="4"/>
  <c r="J30" i="4"/>
  <c r="C29" i="4"/>
  <c r="H30" i="4"/>
  <c r="F30" i="4"/>
  <c r="E30" i="4"/>
  <c r="G30" i="4"/>
  <c r="B29" i="4"/>
  <c r="A29" i="4"/>
  <c r="L27" i="4"/>
  <c r="K27" i="4"/>
  <c r="J27" i="4"/>
  <c r="B26" i="4"/>
  <c r="A26" i="4"/>
  <c r="L24" i="4"/>
  <c r="K24" i="4"/>
  <c r="J24" i="4"/>
  <c r="B23" i="4"/>
  <c r="A23" i="4"/>
  <c r="L21" i="4"/>
  <c r="K21" i="4"/>
  <c r="J21" i="4"/>
  <c r="B20" i="4"/>
  <c r="A20" i="4"/>
  <c r="L18" i="4"/>
  <c r="K18" i="4"/>
  <c r="J18" i="4"/>
  <c r="B17" i="4"/>
  <c r="A17" i="4"/>
  <c r="L15" i="4"/>
  <c r="K15" i="4"/>
  <c r="J15" i="4"/>
  <c r="B14" i="4"/>
  <c r="A14" i="4"/>
  <c r="L12" i="4"/>
  <c r="K12" i="4"/>
  <c r="J12" i="4"/>
  <c r="J38" i="4"/>
  <c r="B11" i="4"/>
  <c r="A11" i="4"/>
  <c r="D5" i="4"/>
  <c r="K4" i="4"/>
  <c r="D4" i="4"/>
  <c r="D3" i="4"/>
  <c r="C2" i="4"/>
  <c r="C1" i="4"/>
  <c r="M160" i="3"/>
  <c r="N160" i="3"/>
  <c r="K160" i="3"/>
  <c r="C160" i="3"/>
  <c r="B160" i="3"/>
  <c r="M159" i="3"/>
  <c r="N159" i="3"/>
  <c r="K159" i="3"/>
  <c r="C159" i="3"/>
  <c r="B159" i="3"/>
  <c r="M158" i="3"/>
  <c r="N158" i="3"/>
  <c r="K158" i="3"/>
  <c r="C158" i="3"/>
  <c r="B158" i="3"/>
  <c r="M157" i="3"/>
  <c r="L157" i="3"/>
  <c r="N157" i="3"/>
  <c r="K157" i="3"/>
  <c r="C157" i="3"/>
  <c r="M156" i="3"/>
  <c r="K156" i="3"/>
  <c r="C156" i="3"/>
  <c r="M153" i="3"/>
  <c r="N153" i="3"/>
  <c r="K153" i="3"/>
  <c r="C153" i="3"/>
  <c r="B153" i="3"/>
  <c r="M152" i="3"/>
  <c r="N152" i="3"/>
  <c r="K152" i="3"/>
  <c r="C152" i="3"/>
  <c r="B152" i="3"/>
  <c r="M151" i="3"/>
  <c r="L151" i="3"/>
  <c r="N151" i="3"/>
  <c r="K151" i="3"/>
  <c r="C151" i="3"/>
  <c r="B151" i="3"/>
  <c r="M150" i="3"/>
  <c r="L150" i="3"/>
  <c r="N150" i="3"/>
  <c r="K150" i="3"/>
  <c r="C150" i="3"/>
  <c r="K149" i="3"/>
  <c r="M148" i="3"/>
  <c r="K148" i="3"/>
  <c r="C148" i="3"/>
  <c r="B148" i="3"/>
  <c r="K147" i="3"/>
  <c r="M146" i="3"/>
  <c r="L145" i="3"/>
  <c r="L146" i="3"/>
  <c r="N146" i="3"/>
  <c r="K146" i="3"/>
  <c r="C146" i="3"/>
  <c r="M145" i="3"/>
  <c r="N145" i="3"/>
  <c r="K145" i="3"/>
  <c r="C145" i="3"/>
  <c r="M142" i="3"/>
  <c r="N142" i="3"/>
  <c r="K142" i="3"/>
  <c r="C142" i="3"/>
  <c r="B142" i="3"/>
  <c r="M141" i="3"/>
  <c r="N141" i="3"/>
  <c r="K141" i="3"/>
  <c r="C141" i="3"/>
  <c r="B141" i="3"/>
  <c r="M140" i="3"/>
  <c r="N140" i="3"/>
  <c r="K140" i="3"/>
  <c r="C140" i="3"/>
  <c r="B140" i="3"/>
  <c r="E139" i="3"/>
  <c r="E138" i="3"/>
  <c r="M137" i="3"/>
  <c r="N137" i="3"/>
  <c r="K137" i="3"/>
  <c r="E137" i="3"/>
  <c r="C137" i="3"/>
  <c r="B137" i="3"/>
  <c r="L136" i="3"/>
  <c r="M136" i="3"/>
  <c r="N136" i="3"/>
  <c r="K136" i="3"/>
  <c r="C136" i="3"/>
  <c r="B136" i="3"/>
  <c r="M135" i="3"/>
  <c r="L135" i="3"/>
  <c r="N135" i="3"/>
  <c r="K135" i="3"/>
  <c r="C135" i="3"/>
  <c r="B135" i="3"/>
  <c r="M134" i="3"/>
  <c r="N134" i="3"/>
  <c r="K134" i="3"/>
  <c r="G134" i="3"/>
  <c r="M133" i="3"/>
  <c r="N133" i="3"/>
  <c r="K133" i="3"/>
  <c r="G133" i="3"/>
  <c r="M132" i="3"/>
  <c r="N132" i="3"/>
  <c r="K132" i="3"/>
  <c r="G132" i="3"/>
  <c r="C132" i="3"/>
  <c r="B132" i="3"/>
  <c r="M131" i="3"/>
  <c r="N131" i="3"/>
  <c r="C131" i="3"/>
  <c r="B131" i="3"/>
  <c r="M130" i="3"/>
  <c r="N130" i="3"/>
  <c r="C130" i="3"/>
  <c r="B130" i="3"/>
  <c r="M129" i="3"/>
  <c r="L129" i="3"/>
  <c r="N129" i="3"/>
  <c r="K129" i="3"/>
  <c r="C129" i="3"/>
  <c r="B129" i="3"/>
  <c r="M128" i="3"/>
  <c r="N128" i="3"/>
  <c r="K128" i="3"/>
  <c r="C128" i="3"/>
  <c r="B128" i="3"/>
  <c r="M127" i="3"/>
  <c r="N127" i="3"/>
  <c r="K127" i="3"/>
  <c r="C127" i="3"/>
  <c r="B127" i="3"/>
  <c r="M126" i="3"/>
  <c r="L126" i="3"/>
  <c r="N126" i="3"/>
  <c r="K126" i="3"/>
  <c r="C126" i="3"/>
  <c r="B126" i="3"/>
  <c r="M123" i="3"/>
  <c r="N123" i="3"/>
  <c r="K123" i="3"/>
  <c r="C123" i="3"/>
  <c r="B123" i="3"/>
  <c r="M122" i="3"/>
  <c r="N122" i="3"/>
  <c r="K122" i="3"/>
  <c r="C122" i="3"/>
  <c r="B122" i="3"/>
  <c r="M121" i="3"/>
  <c r="N121" i="3"/>
  <c r="K121" i="3"/>
  <c r="C121" i="3"/>
  <c r="B121" i="3"/>
  <c r="M120" i="3"/>
  <c r="N120" i="3"/>
  <c r="K120" i="3"/>
  <c r="C120" i="3"/>
  <c r="B120" i="3"/>
  <c r="M119" i="3"/>
  <c r="N119" i="3"/>
  <c r="K119" i="3"/>
  <c r="C119" i="3"/>
  <c r="B119" i="3"/>
  <c r="M118" i="3"/>
  <c r="L118" i="3"/>
  <c r="N118" i="3"/>
  <c r="C118" i="3"/>
  <c r="B118" i="3"/>
  <c r="M117" i="3"/>
  <c r="L117" i="3"/>
  <c r="N117" i="3"/>
  <c r="C117" i="3"/>
  <c r="B117" i="3"/>
  <c r="L116" i="3"/>
  <c r="M116" i="3"/>
  <c r="N116" i="3"/>
  <c r="C116" i="3"/>
  <c r="B116" i="3"/>
  <c r="M115" i="3"/>
  <c r="L115" i="3"/>
  <c r="N115" i="3"/>
  <c r="C115" i="3"/>
  <c r="B115" i="3"/>
  <c r="M114" i="3"/>
  <c r="L114" i="3"/>
  <c r="N114" i="3"/>
  <c r="C114" i="3"/>
  <c r="B114" i="3"/>
  <c r="M113" i="3"/>
  <c r="L113" i="3"/>
  <c r="N113" i="3"/>
  <c r="C113" i="3"/>
  <c r="B113" i="3"/>
  <c r="L112" i="3"/>
  <c r="M112" i="3"/>
  <c r="N112" i="3"/>
  <c r="C112" i="3"/>
  <c r="B112" i="3"/>
  <c r="M111" i="3"/>
  <c r="L111" i="3"/>
  <c r="N111" i="3"/>
  <c r="C111" i="3"/>
  <c r="B111" i="3"/>
  <c r="M110" i="3"/>
  <c r="L110" i="3"/>
  <c r="N110" i="3"/>
  <c r="C110" i="3"/>
  <c r="M109" i="3"/>
  <c r="L109" i="3"/>
  <c r="N109" i="3"/>
  <c r="C109" i="3"/>
  <c r="B109" i="3"/>
  <c r="M108" i="3"/>
  <c r="L108" i="3"/>
  <c r="C108" i="3"/>
  <c r="B108" i="3"/>
  <c r="L107" i="3"/>
  <c r="M107" i="3"/>
  <c r="N107" i="3"/>
  <c r="C107" i="3"/>
  <c r="B107" i="3"/>
  <c r="M106" i="3"/>
  <c r="L106" i="3"/>
  <c r="N106" i="3"/>
  <c r="C106" i="3"/>
  <c r="B106" i="3"/>
  <c r="M105" i="3"/>
  <c r="L105" i="3"/>
  <c r="N105" i="3"/>
  <c r="C105" i="3"/>
  <c r="B105" i="3"/>
  <c r="M104" i="3"/>
  <c r="L104" i="3"/>
  <c r="C104" i="3"/>
  <c r="M103" i="3"/>
  <c r="L103" i="3"/>
  <c r="C103" i="3"/>
  <c r="B103" i="3"/>
  <c r="L102" i="3"/>
  <c r="M102" i="3"/>
  <c r="N102" i="3"/>
  <c r="C102" i="3"/>
  <c r="L101" i="3"/>
  <c r="M101" i="3"/>
  <c r="N101" i="3"/>
  <c r="C101" i="3"/>
  <c r="B101" i="3"/>
  <c r="M100" i="3"/>
  <c r="L100" i="3"/>
  <c r="N100" i="3"/>
  <c r="K100" i="3"/>
  <c r="C100" i="3"/>
  <c r="B100" i="3"/>
  <c r="M99" i="3"/>
  <c r="L99" i="3"/>
  <c r="N99" i="3"/>
  <c r="K99" i="3"/>
  <c r="C99" i="3"/>
  <c r="B99" i="3"/>
  <c r="M98" i="3"/>
  <c r="L98" i="3"/>
  <c r="N98" i="3"/>
  <c r="K98" i="3"/>
  <c r="C98" i="3"/>
  <c r="B98" i="3"/>
  <c r="M97" i="3"/>
  <c r="L97" i="3"/>
  <c r="N97" i="3"/>
  <c r="K97" i="3"/>
  <c r="C97" i="3"/>
  <c r="B97" i="3"/>
  <c r="M96" i="3"/>
  <c r="L96" i="3"/>
  <c r="N96" i="3"/>
  <c r="K96" i="3"/>
  <c r="C96" i="3"/>
  <c r="B96" i="3"/>
  <c r="M95" i="3"/>
  <c r="L95" i="3"/>
  <c r="N95" i="3"/>
  <c r="K95" i="3"/>
  <c r="C95" i="3"/>
  <c r="B95" i="3"/>
  <c r="M94" i="3"/>
  <c r="L94" i="3"/>
  <c r="N94" i="3"/>
  <c r="K94" i="3"/>
  <c r="C94" i="3"/>
  <c r="B94" i="3"/>
  <c r="M93" i="3"/>
  <c r="L93" i="3"/>
  <c r="N93" i="3"/>
  <c r="K93" i="3"/>
  <c r="C93" i="3"/>
  <c r="B93" i="3"/>
  <c r="M92" i="3"/>
  <c r="L92" i="3"/>
  <c r="N92" i="3"/>
  <c r="K92" i="3"/>
  <c r="C92" i="3"/>
  <c r="M91" i="3"/>
  <c r="L91" i="3"/>
  <c r="N91" i="3"/>
  <c r="K91" i="3"/>
  <c r="C91" i="3"/>
  <c r="B91" i="3"/>
  <c r="L90" i="3"/>
  <c r="M90" i="3"/>
  <c r="N90" i="3"/>
  <c r="K90" i="3"/>
  <c r="C90" i="3"/>
  <c r="B90" i="3"/>
  <c r="M89" i="3"/>
  <c r="L89" i="3"/>
  <c r="N89" i="3"/>
  <c r="K89" i="3"/>
  <c r="C89" i="3"/>
  <c r="B89" i="3"/>
  <c r="L88" i="3"/>
  <c r="M88" i="3"/>
  <c r="N88" i="3"/>
  <c r="K88" i="3"/>
  <c r="C88" i="3"/>
  <c r="B88" i="3"/>
  <c r="M87" i="3"/>
  <c r="L87" i="3"/>
  <c r="N87" i="3"/>
  <c r="K87" i="3"/>
  <c r="C87" i="3"/>
  <c r="B87" i="3"/>
  <c r="L86" i="3"/>
  <c r="M86" i="3"/>
  <c r="N86" i="3"/>
  <c r="K86" i="3"/>
  <c r="C86" i="3"/>
  <c r="M85" i="3"/>
  <c r="L85" i="3"/>
  <c r="N85" i="3"/>
  <c r="K85" i="3"/>
  <c r="C85" i="3"/>
  <c r="B85" i="3"/>
  <c r="M84" i="3"/>
  <c r="L84" i="3"/>
  <c r="N84" i="3"/>
  <c r="K84" i="3"/>
  <c r="C84" i="3"/>
  <c r="L83" i="3"/>
  <c r="M83" i="3"/>
  <c r="N83" i="3"/>
  <c r="K83" i="3"/>
  <c r="C83" i="3"/>
  <c r="B83" i="3"/>
  <c r="M79" i="3"/>
  <c r="K79" i="3"/>
  <c r="C79" i="3"/>
  <c r="B79" i="3"/>
  <c r="M78" i="3"/>
  <c r="K78" i="3"/>
  <c r="C78" i="3"/>
  <c r="B78" i="3"/>
  <c r="M77" i="3"/>
  <c r="N77" i="3"/>
  <c r="K77" i="3"/>
  <c r="C77" i="3"/>
  <c r="B77" i="3"/>
  <c r="M76" i="3"/>
  <c r="N76" i="3"/>
  <c r="K76" i="3"/>
  <c r="C76" i="3"/>
  <c r="B76" i="3"/>
  <c r="M75" i="3"/>
  <c r="L75" i="3"/>
  <c r="N75" i="3"/>
  <c r="K75" i="3"/>
  <c r="C75" i="3"/>
  <c r="M74" i="3"/>
  <c r="L74" i="3"/>
  <c r="N74" i="3"/>
  <c r="K74" i="3"/>
  <c r="C74" i="3"/>
  <c r="M73" i="3"/>
  <c r="N73" i="3"/>
  <c r="K73" i="3"/>
  <c r="C73" i="3"/>
  <c r="B73" i="3"/>
  <c r="L72" i="3"/>
  <c r="M72" i="3"/>
  <c r="N72" i="3"/>
  <c r="L156" i="3"/>
  <c r="N156" i="3"/>
  <c r="N155" i="3"/>
  <c r="C35" i="4"/>
  <c r="K72" i="3"/>
  <c r="C72" i="3"/>
  <c r="M71" i="3"/>
  <c r="N71" i="3"/>
  <c r="K71" i="3"/>
  <c r="C71" i="3"/>
  <c r="B71" i="3"/>
  <c r="M70" i="3"/>
  <c r="L70" i="3"/>
  <c r="N70" i="3"/>
  <c r="K70" i="3"/>
  <c r="C70" i="3"/>
  <c r="M69" i="3"/>
  <c r="N69" i="3"/>
  <c r="K69" i="3"/>
  <c r="C69" i="3"/>
  <c r="B69" i="3"/>
  <c r="L68" i="3"/>
  <c r="M68" i="3"/>
  <c r="N68" i="3"/>
  <c r="K68" i="3"/>
  <c r="C68" i="3"/>
  <c r="M67" i="3"/>
  <c r="K67" i="3"/>
  <c r="C67" i="3"/>
  <c r="M65" i="3"/>
  <c r="K65" i="3"/>
  <c r="C65" i="3"/>
  <c r="B65" i="3"/>
  <c r="M63" i="3"/>
  <c r="K63" i="3"/>
  <c r="C63" i="3"/>
  <c r="B63" i="3"/>
  <c r="M62" i="3"/>
  <c r="L62" i="3"/>
  <c r="L63" i="3"/>
  <c r="N63" i="3"/>
  <c r="K62" i="3"/>
  <c r="C62" i="3"/>
  <c r="B62" i="3"/>
  <c r="L61" i="3"/>
  <c r="M61" i="3"/>
  <c r="N61" i="3"/>
  <c r="L53" i="3"/>
  <c r="L54" i="3"/>
  <c r="L55" i="3"/>
  <c r="L56" i="3"/>
  <c r="L57" i="3"/>
  <c r="L58" i="3"/>
  <c r="L59" i="3"/>
  <c r="L60" i="3"/>
  <c r="L67" i="3"/>
  <c r="N67" i="3"/>
  <c r="K61" i="3"/>
  <c r="C61" i="3"/>
  <c r="B61" i="3"/>
  <c r="M60" i="3"/>
  <c r="N60" i="3"/>
  <c r="K60" i="3"/>
  <c r="C60" i="3"/>
  <c r="B60" i="3"/>
  <c r="M59" i="3"/>
  <c r="N59" i="3"/>
  <c r="K59" i="3"/>
  <c r="C59" i="3"/>
  <c r="B59" i="3"/>
  <c r="M58" i="3"/>
  <c r="N58" i="3"/>
  <c r="K58" i="3"/>
  <c r="C58" i="3"/>
  <c r="B58" i="3"/>
  <c r="M57" i="3"/>
  <c r="N57" i="3"/>
  <c r="K57" i="3"/>
  <c r="C57" i="3"/>
  <c r="B57" i="3"/>
  <c r="M56" i="3"/>
  <c r="N56" i="3"/>
  <c r="K56" i="3"/>
  <c r="C56" i="3"/>
  <c r="B56" i="3"/>
  <c r="M55" i="3"/>
  <c r="N55" i="3"/>
  <c r="K55" i="3"/>
  <c r="C55" i="3"/>
  <c r="M54" i="3"/>
  <c r="N54" i="3"/>
  <c r="K54" i="3"/>
  <c r="C54" i="3"/>
  <c r="B54" i="3"/>
  <c r="M53" i="3"/>
  <c r="N53" i="3"/>
  <c r="K53" i="3"/>
  <c r="C53" i="3"/>
  <c r="B53" i="3"/>
  <c r="M50" i="3"/>
  <c r="N50" i="3"/>
  <c r="C50" i="3"/>
  <c r="B50" i="3"/>
  <c r="M49" i="3"/>
  <c r="N49" i="3"/>
  <c r="C49" i="3"/>
  <c r="B49" i="3"/>
  <c r="M48" i="3"/>
  <c r="N48" i="3"/>
  <c r="C48" i="3"/>
  <c r="B48" i="3"/>
  <c r="M47" i="3"/>
  <c r="N47" i="3"/>
  <c r="K47" i="3"/>
  <c r="C47" i="3"/>
  <c r="B47" i="3"/>
  <c r="M46" i="3"/>
  <c r="N46" i="3"/>
  <c r="K46" i="3"/>
  <c r="C46" i="3"/>
  <c r="B46" i="3"/>
  <c r="L45" i="3"/>
  <c r="M45" i="3"/>
  <c r="N45" i="3"/>
  <c r="K45" i="3"/>
  <c r="C45" i="3"/>
  <c r="B45" i="3"/>
  <c r="M44" i="3"/>
  <c r="L44" i="3"/>
  <c r="N44" i="3"/>
  <c r="K44" i="3"/>
  <c r="C44" i="3"/>
  <c r="B44" i="3"/>
  <c r="L43" i="3"/>
  <c r="M43" i="3"/>
  <c r="N43" i="3"/>
  <c r="N42" i="3"/>
  <c r="C20" i="4"/>
  <c r="K43" i="3"/>
  <c r="C43" i="3"/>
  <c r="B43" i="3"/>
  <c r="M40" i="3"/>
  <c r="L40" i="3"/>
  <c r="N40" i="3"/>
  <c r="K40" i="3"/>
  <c r="C40" i="3"/>
  <c r="B40" i="3"/>
  <c r="M39" i="3"/>
  <c r="L39" i="3"/>
  <c r="N39" i="3"/>
  <c r="N38" i="3"/>
  <c r="C17" i="4"/>
  <c r="K39" i="3"/>
  <c r="C39" i="3"/>
  <c r="B39" i="3"/>
  <c r="M36" i="3"/>
  <c r="N36" i="3"/>
  <c r="K36" i="3"/>
  <c r="C36" i="3"/>
  <c r="B36" i="3"/>
  <c r="M35" i="3"/>
  <c r="N35" i="3"/>
  <c r="K35" i="3"/>
  <c r="C35" i="3"/>
  <c r="B35" i="3"/>
  <c r="M34" i="3"/>
  <c r="N34" i="3"/>
  <c r="K34" i="3"/>
  <c r="C34" i="3"/>
  <c r="B34" i="3"/>
  <c r="M33" i="3"/>
  <c r="N33" i="3"/>
  <c r="K33" i="3"/>
  <c r="C33" i="3"/>
  <c r="B33" i="3"/>
  <c r="M32" i="3"/>
  <c r="N32" i="3"/>
  <c r="K32" i="3"/>
  <c r="C32" i="3"/>
  <c r="B32" i="3"/>
  <c r="M31" i="3"/>
  <c r="N31" i="3"/>
  <c r="K31" i="3"/>
  <c r="C31" i="3"/>
  <c r="B31" i="3"/>
  <c r="M30" i="3"/>
  <c r="N30" i="3"/>
  <c r="K30" i="3"/>
  <c r="C30" i="3"/>
  <c r="B30" i="3"/>
  <c r="M29" i="3"/>
  <c r="N29" i="3"/>
  <c r="K29" i="3"/>
  <c r="C29" i="3"/>
  <c r="B29" i="3"/>
  <c r="M28" i="3"/>
  <c r="N28" i="3"/>
  <c r="K28" i="3"/>
  <c r="M27" i="3"/>
  <c r="N27" i="3"/>
  <c r="K27" i="3"/>
  <c r="M26" i="3"/>
  <c r="N26" i="3"/>
  <c r="K26" i="3"/>
  <c r="M25" i="3"/>
  <c r="N25" i="3"/>
  <c r="K25" i="3"/>
  <c r="C25" i="3"/>
  <c r="B25" i="3"/>
  <c r="M24" i="3"/>
  <c r="N24" i="3"/>
  <c r="K24" i="3"/>
  <c r="C24" i="3"/>
  <c r="B24" i="3"/>
  <c r="M23" i="3"/>
  <c r="N23" i="3"/>
  <c r="K23" i="3"/>
  <c r="C23" i="3"/>
  <c r="B23" i="3"/>
  <c r="M20" i="3"/>
  <c r="N20" i="3"/>
  <c r="K20" i="3"/>
  <c r="C20" i="3"/>
  <c r="B20" i="3"/>
  <c r="M19" i="3"/>
  <c r="N19" i="3"/>
  <c r="K19" i="3"/>
  <c r="C19" i="3"/>
  <c r="M18" i="3"/>
  <c r="L18" i="3"/>
  <c r="N18" i="3"/>
  <c r="K18" i="3"/>
  <c r="C18" i="3"/>
  <c r="M17" i="3"/>
  <c r="N17" i="3"/>
  <c r="K17" i="3"/>
  <c r="C17" i="3"/>
  <c r="B17" i="3"/>
  <c r="M16" i="3"/>
  <c r="N16" i="3"/>
  <c r="K16" i="3"/>
  <c r="C16" i="3"/>
  <c r="B16" i="3"/>
  <c r="E10" i="3"/>
  <c r="E8" i="3"/>
  <c r="E6" i="3"/>
  <c r="E3" i="3"/>
  <c r="P139" i="2"/>
  <c r="E135" i="2"/>
  <c r="L131" i="2"/>
  <c r="E130" i="2"/>
  <c r="I128" i="2"/>
  <c r="I127" i="2"/>
  <c r="E127" i="2"/>
  <c r="I126" i="2"/>
  <c r="I125" i="2"/>
  <c r="J124" i="2"/>
  <c r="I124" i="2"/>
  <c r="J123" i="2"/>
  <c r="I123" i="2"/>
  <c r="N122" i="2"/>
  <c r="J122" i="2"/>
  <c r="I122" i="2"/>
  <c r="N121" i="2"/>
  <c r="J121" i="2"/>
  <c r="I121" i="2"/>
  <c r="N120" i="2"/>
  <c r="J120" i="2"/>
  <c r="I120" i="2"/>
  <c r="N119" i="2"/>
  <c r="J119" i="2"/>
  <c r="I119" i="2"/>
  <c r="N118" i="2"/>
  <c r="J118" i="2"/>
  <c r="I118" i="2"/>
  <c r="N117" i="2"/>
  <c r="J117" i="2"/>
  <c r="I117" i="2"/>
  <c r="N116" i="2"/>
  <c r="J116" i="2"/>
  <c r="I116" i="2"/>
  <c r="N115" i="2"/>
  <c r="J115" i="2"/>
  <c r="I115" i="2"/>
  <c r="J114" i="2"/>
  <c r="I114" i="2"/>
  <c r="N113" i="2"/>
  <c r="J113" i="2"/>
  <c r="I113" i="2"/>
  <c r="N112" i="2"/>
  <c r="J112" i="2"/>
  <c r="I112" i="2"/>
  <c r="J111" i="2"/>
  <c r="I111" i="2"/>
  <c r="J110" i="2"/>
  <c r="I110" i="2"/>
  <c r="J109" i="2"/>
  <c r="I109" i="2"/>
  <c r="J108" i="2"/>
  <c r="I108" i="2"/>
  <c r="J107" i="2"/>
  <c r="I107" i="2"/>
  <c r="E106" i="2"/>
  <c r="K106" i="2"/>
  <c r="E105" i="2"/>
  <c r="K105" i="2"/>
  <c r="K104" i="2"/>
  <c r="K103" i="2"/>
  <c r="K102" i="2"/>
  <c r="K101" i="2"/>
  <c r="K100" i="2"/>
  <c r="K99" i="2"/>
  <c r="K98" i="2"/>
  <c r="K97" i="2"/>
  <c r="K96" i="2"/>
  <c r="K95" i="2"/>
  <c r="K94" i="2"/>
  <c r="K93" i="2"/>
  <c r="K92" i="2"/>
  <c r="K91" i="2"/>
  <c r="K90" i="2"/>
  <c r="K89" i="2"/>
  <c r="K88" i="2"/>
  <c r="K87" i="2"/>
  <c r="K86" i="2"/>
  <c r="K85" i="2"/>
  <c r="K84" i="2"/>
  <c r="K83" i="2"/>
  <c r="K82" i="2"/>
  <c r="K81" i="2"/>
  <c r="K80" i="2"/>
  <c r="K79" i="2"/>
  <c r="K78" i="2"/>
  <c r="K77" i="2"/>
  <c r="K76" i="2"/>
  <c r="K75" i="2"/>
  <c r="K74" i="2"/>
  <c r="K73" i="2"/>
  <c r="K72" i="2"/>
  <c r="E67" i="2"/>
  <c r="F67" i="2"/>
  <c r="K66" i="2"/>
  <c r="E39" i="2"/>
  <c r="F39" i="2"/>
  <c r="E40" i="2"/>
  <c r="K39" i="2"/>
  <c r="N28" i="2"/>
  <c r="P39" i="2"/>
  <c r="F40" i="2"/>
  <c r="E41" i="2"/>
  <c r="E38" i="2"/>
  <c r="K38" i="2"/>
  <c r="E37" i="2"/>
  <c r="K37" i="2"/>
  <c r="K28" i="2"/>
  <c r="N37" i="2"/>
  <c r="K36" i="2"/>
  <c r="P36" i="2"/>
  <c r="N29" i="2"/>
  <c r="C28" i="2"/>
  <c r="J27" i="2"/>
  <c r="E29" i="1"/>
  <c r="E35" i="1"/>
  <c r="F26" i="1"/>
  <c r="E39" i="1"/>
  <c r="F23" i="1"/>
  <c r="F14" i="1"/>
  <c r="F15" i="1"/>
  <c r="F16" i="1"/>
  <c r="F17" i="1"/>
  <c r="F18" i="1"/>
  <c r="E38" i="1"/>
  <c r="E40" i="1"/>
  <c r="H8" i="1"/>
  <c r="G9" i="1"/>
  <c r="B9" i="1"/>
  <c r="B8" i="1"/>
  <c r="B7" i="1"/>
  <c r="B6" i="1"/>
  <c r="C2" i="1"/>
  <c r="E1" i="3"/>
  <c r="D1" i="6"/>
  <c r="C1" i="1"/>
  <c r="L38" i="4"/>
  <c r="K38" i="4"/>
  <c r="Q37" i="2"/>
  <c r="N38" i="2"/>
  <c r="P38" i="2"/>
  <c r="F41" i="2"/>
  <c r="E68" i="2"/>
  <c r="F68" i="2"/>
  <c r="K67" i="2"/>
  <c r="N74" i="2"/>
  <c r="N78" i="2"/>
  <c r="N82" i="2"/>
  <c r="N86" i="2"/>
  <c r="N90" i="2"/>
  <c r="N94" i="2"/>
  <c r="N98" i="2"/>
  <c r="N102" i="2"/>
  <c r="N22" i="3"/>
  <c r="C14" i="4"/>
  <c r="N106" i="2"/>
  <c r="N104" i="2"/>
  <c r="N100" i="2"/>
  <c r="N96" i="2"/>
  <c r="N92" i="2"/>
  <c r="N88" i="2"/>
  <c r="N84" i="2"/>
  <c r="N80" i="2"/>
  <c r="N76" i="2"/>
  <c r="N72" i="2"/>
  <c r="N103" i="2"/>
  <c r="N99" i="2"/>
  <c r="N95" i="2"/>
  <c r="N91" i="2"/>
  <c r="N87" i="2"/>
  <c r="N83" i="2"/>
  <c r="N79" i="2"/>
  <c r="N75" i="2"/>
  <c r="P106" i="2"/>
  <c r="F18" i="4"/>
  <c r="E18" i="4"/>
  <c r="H18" i="4"/>
  <c r="G18" i="4"/>
  <c r="F21" i="4"/>
  <c r="E21" i="4"/>
  <c r="H21" i="4"/>
  <c r="G21" i="4"/>
  <c r="P102" i="2"/>
  <c r="P98" i="2"/>
  <c r="P94" i="2"/>
  <c r="P90" i="2"/>
  <c r="P86" i="2"/>
  <c r="P82" i="2"/>
  <c r="P78" i="2"/>
  <c r="P74" i="2"/>
  <c r="P103" i="2"/>
  <c r="P99" i="2"/>
  <c r="P95" i="2"/>
  <c r="P91" i="2"/>
  <c r="P87" i="2"/>
  <c r="P83" i="2"/>
  <c r="P79" i="2"/>
  <c r="P75" i="2"/>
  <c r="N36" i="2"/>
  <c r="P66" i="2"/>
  <c r="P72" i="2"/>
  <c r="P76" i="2"/>
  <c r="P80" i="2"/>
  <c r="P84" i="2"/>
  <c r="P88" i="2"/>
  <c r="P92" i="2"/>
  <c r="P96" i="2"/>
  <c r="P100" i="2"/>
  <c r="P104" i="2"/>
  <c r="P37" i="2"/>
  <c r="N39" i="2"/>
  <c r="K40" i="2"/>
  <c r="N66" i="2"/>
  <c r="P73" i="2"/>
  <c r="P77" i="2"/>
  <c r="P81" i="2"/>
  <c r="P85" i="2"/>
  <c r="P89" i="2"/>
  <c r="P93" i="2"/>
  <c r="P97" i="2"/>
  <c r="P101" i="2"/>
  <c r="P105" i="2"/>
  <c r="N105" i="2"/>
  <c r="N15" i="3"/>
  <c r="N73" i="2"/>
  <c r="N77" i="2"/>
  <c r="N81" i="2"/>
  <c r="N85" i="2"/>
  <c r="N89" i="2"/>
  <c r="N93" i="2"/>
  <c r="N97" i="2"/>
  <c r="N101" i="2"/>
  <c r="N103" i="3"/>
  <c r="N108" i="3"/>
  <c r="I26" i="5"/>
  <c r="L65" i="3"/>
  <c r="N65" i="3"/>
  <c r="N125" i="3"/>
  <c r="T15" i="6"/>
  <c r="T16" i="6"/>
  <c r="T21" i="6"/>
  <c r="G30" i="5"/>
  <c r="I30" i="5"/>
  <c r="I34" i="5"/>
  <c r="T23" i="6"/>
  <c r="T26" i="6"/>
  <c r="N62" i="3"/>
  <c r="N52" i="3"/>
  <c r="H36" i="4"/>
  <c r="G36" i="4"/>
  <c r="F36" i="4"/>
  <c r="E36" i="4"/>
  <c r="N104" i="3"/>
  <c r="N81" i="3"/>
  <c r="C26" i="4"/>
  <c r="J26" i="5"/>
  <c r="T11" i="6"/>
  <c r="L148" i="3"/>
  <c r="N148" i="3"/>
  <c r="N144" i="3"/>
  <c r="C32" i="4"/>
  <c r="M10" i="6"/>
  <c r="S11" i="6"/>
  <c r="P12" i="6"/>
  <c r="M13" i="6"/>
  <c r="P14" i="6"/>
  <c r="Q16" i="6"/>
  <c r="M17" i="6"/>
  <c r="N19" i="6"/>
  <c r="T19" i="6"/>
  <c r="P20" i="6"/>
  <c r="Q21" i="6"/>
  <c r="P22" i="6"/>
  <c r="Q23" i="6"/>
  <c r="P25" i="6"/>
  <c r="Q26" i="6"/>
  <c r="Q27" i="6"/>
  <c r="P28" i="6"/>
  <c r="T29" i="6"/>
  <c r="T30" i="6"/>
  <c r="P31" i="6"/>
  <c r="T37" i="6"/>
  <c r="M40" i="6"/>
  <c r="P40" i="6"/>
  <c r="O40" i="6"/>
  <c r="T41" i="6"/>
  <c r="Q63" i="6"/>
  <c r="Q40" i="6"/>
  <c r="Q36" i="6"/>
  <c r="Q31" i="6"/>
  <c r="Q58" i="6"/>
  <c r="Q49" i="6"/>
  <c r="S49" i="6"/>
  <c r="Q44" i="6"/>
  <c r="Q69" i="6"/>
  <c r="Q61" i="6"/>
  <c r="S61" i="6"/>
  <c r="Q43" i="6"/>
  <c r="Q34" i="6"/>
  <c r="Q67" i="6"/>
  <c r="Q60" i="6"/>
  <c r="Q55" i="6"/>
  <c r="Q46" i="6"/>
  <c r="Q12" i="6"/>
  <c r="S15" i="6"/>
  <c r="Q22" i="6"/>
  <c r="S23" i="6"/>
  <c r="S26" i="6"/>
  <c r="Q28" i="6"/>
  <c r="T47" i="6"/>
  <c r="L36" i="9"/>
  <c r="L37" i="9"/>
  <c r="L39" i="9"/>
  <c r="L82" i="9"/>
  <c r="L84" i="9"/>
  <c r="M12" i="6"/>
  <c r="M14" i="6"/>
  <c r="S16" i="6"/>
  <c r="M20" i="6"/>
  <c r="S21" i="6"/>
  <c r="M22" i="6"/>
  <c r="S24" i="6"/>
  <c r="M25" i="6"/>
  <c r="S27" i="6"/>
  <c r="M28" i="6"/>
  <c r="Q30" i="6"/>
  <c r="S30" i="6"/>
  <c r="P32" i="6"/>
  <c r="M32" i="6"/>
  <c r="Q32" i="6"/>
  <c r="T33" i="6"/>
  <c r="M35" i="6"/>
  <c r="P35" i="6"/>
  <c r="Q35" i="6"/>
  <c r="T36" i="6"/>
  <c r="S36" i="6"/>
  <c r="S53" i="6"/>
  <c r="T58" i="6"/>
  <c r="T57" i="6"/>
  <c r="L75" i="8"/>
  <c r="L40" i="10"/>
  <c r="L39" i="10"/>
  <c r="L42" i="10"/>
  <c r="L61" i="10"/>
  <c r="Q19" i="6"/>
  <c r="S31" i="6"/>
  <c r="S34" i="6"/>
  <c r="S43" i="6"/>
  <c r="L90" i="8"/>
  <c r="K57" i="11"/>
  <c r="L57" i="11"/>
  <c r="J22" i="11"/>
  <c r="L22" i="11"/>
  <c r="L26" i="11"/>
  <c r="L39" i="11"/>
  <c r="L40" i="11"/>
  <c r="K59" i="11"/>
  <c r="L59" i="11"/>
  <c r="N44" i="6"/>
  <c r="P44" i="6"/>
  <c r="S44" i="6"/>
  <c r="P51" i="6"/>
  <c r="N52" i="6"/>
  <c r="P52" i="6"/>
  <c r="S52" i="6"/>
  <c r="M55" i="6"/>
  <c r="N56" i="6"/>
  <c r="T56" i="6"/>
  <c r="S58" i="6"/>
  <c r="S59" i="6"/>
  <c r="S57" i="6"/>
  <c r="M60" i="6"/>
  <c r="T61" i="6"/>
  <c r="N63" i="6"/>
  <c r="O63" i="6"/>
  <c r="T63" i="6"/>
  <c r="S64" i="6"/>
  <c r="N68" i="6"/>
  <c r="T68" i="6"/>
  <c r="P69" i="6"/>
  <c r="S69" i="6"/>
  <c r="T69" i="6"/>
  <c r="R8" i="7"/>
  <c r="S8" i="7"/>
  <c r="R9" i="7"/>
  <c r="S9" i="7"/>
  <c r="R11" i="7"/>
  <c r="S11" i="7"/>
  <c r="R12" i="7"/>
  <c r="S12" i="7"/>
  <c r="R14" i="7"/>
  <c r="S14" i="7"/>
  <c r="R15" i="7"/>
  <c r="S15" i="7"/>
  <c r="R17" i="7"/>
  <c r="S17" i="7"/>
  <c r="R18" i="7"/>
  <c r="S18" i="7"/>
  <c r="R20" i="7"/>
  <c r="S20" i="7"/>
  <c r="R21" i="7"/>
  <c r="S21" i="7"/>
  <c r="R23" i="7"/>
  <c r="S23" i="7"/>
  <c r="R24" i="7"/>
  <c r="S24" i="7"/>
  <c r="R26" i="7"/>
  <c r="S26" i="7"/>
  <c r="R27" i="7"/>
  <c r="S27" i="7"/>
  <c r="R29" i="7"/>
  <c r="S29" i="7"/>
  <c r="R30" i="7"/>
  <c r="S30" i="7"/>
  <c r="R32" i="7"/>
  <c r="S32" i="7"/>
  <c r="R33" i="7"/>
  <c r="S33" i="7"/>
  <c r="L39" i="17"/>
  <c r="L40" i="17"/>
  <c r="L41" i="19"/>
  <c r="L42" i="19"/>
  <c r="L44" i="19"/>
  <c r="L64" i="19"/>
  <c r="L41" i="20"/>
  <c r="L42" i="20"/>
  <c r="L44" i="20"/>
  <c r="L64" i="20"/>
  <c r="L35" i="24"/>
  <c r="L36" i="24"/>
  <c r="L35" i="26"/>
  <c r="L36" i="26"/>
  <c r="L39" i="29"/>
  <c r="L38" i="29"/>
  <c r="L41" i="29"/>
  <c r="L61" i="29"/>
  <c r="L38" i="30"/>
  <c r="L39" i="30"/>
  <c r="L40" i="32"/>
  <c r="L41" i="32"/>
  <c r="P37" i="6"/>
  <c r="S37" i="6"/>
  <c r="S41" i="6"/>
  <c r="M42" i="6"/>
  <c r="N46" i="6"/>
  <c r="T46" i="6"/>
  <c r="T45" i="6"/>
  <c r="P47" i="6"/>
  <c r="S47" i="6"/>
  <c r="M50" i="6"/>
  <c r="S51" i="6"/>
  <c r="N55" i="6"/>
  <c r="P56" i="6"/>
  <c r="N60" i="6"/>
  <c r="M65" i="6"/>
  <c r="N67" i="6"/>
  <c r="S67" i="6"/>
  <c r="P68" i="6"/>
  <c r="L53" i="11"/>
  <c r="L38" i="28"/>
  <c r="L39" i="28"/>
  <c r="L41" i="28"/>
  <c r="L61" i="28"/>
  <c r="L42" i="31"/>
  <c r="L41" i="31"/>
  <c r="L44" i="31"/>
  <c r="L64" i="31"/>
  <c r="L70" i="34"/>
  <c r="N42" i="6"/>
  <c r="S46" i="6"/>
  <c r="N50" i="6"/>
  <c r="L42" i="13"/>
  <c r="L41" i="13"/>
  <c r="L44" i="13"/>
  <c r="L65" i="13"/>
  <c r="L41" i="14"/>
  <c r="L42" i="14"/>
  <c r="L44" i="14"/>
  <c r="L64" i="14"/>
  <c r="L42" i="21"/>
  <c r="L41" i="21"/>
  <c r="L44" i="21"/>
  <c r="L64" i="21"/>
  <c r="L37" i="22"/>
  <c r="L36" i="22"/>
  <c r="L39" i="22"/>
  <c r="L56" i="22"/>
  <c r="L37" i="25"/>
  <c r="L38" i="25"/>
  <c r="L40" i="25"/>
  <c r="L61" i="25"/>
  <c r="L39" i="27"/>
  <c r="L38" i="27"/>
  <c r="L41" i="27"/>
  <c r="L61" i="27"/>
  <c r="L42" i="33"/>
  <c r="L41" i="33"/>
  <c r="L44" i="33"/>
  <c r="L64" i="33"/>
  <c r="L36" i="12"/>
  <c r="L42" i="15"/>
  <c r="L41" i="15"/>
  <c r="L44" i="15"/>
  <c r="L64" i="15"/>
  <c r="L42" i="16"/>
  <c r="L41" i="16"/>
  <c r="L44" i="16"/>
  <c r="L64" i="16"/>
  <c r="L42" i="18"/>
  <c r="L43" i="18"/>
  <c r="L45" i="18"/>
  <c r="L65" i="18"/>
  <c r="L34" i="23"/>
  <c r="L35" i="23"/>
  <c r="L35" i="34"/>
  <c r="L36" i="34"/>
  <c r="L38" i="34"/>
  <c r="L72" i="34"/>
  <c r="L65" i="21"/>
  <c r="L66" i="21"/>
  <c r="L85" i="9"/>
  <c r="L86" i="9"/>
  <c r="G33" i="4"/>
  <c r="F33" i="4"/>
  <c r="E33" i="4"/>
  <c r="H33" i="4"/>
  <c r="C23" i="4"/>
  <c r="N173" i="3"/>
  <c r="L65" i="15"/>
  <c r="L66" i="15"/>
  <c r="L66" i="13"/>
  <c r="L67" i="13"/>
  <c r="L68" i="13"/>
  <c r="L57" i="22"/>
  <c r="L58" i="22"/>
  <c r="L62" i="28"/>
  <c r="L63" i="28"/>
  <c r="L62" i="10"/>
  <c r="L63" i="10"/>
  <c r="L62" i="27"/>
  <c r="L63" i="27"/>
  <c r="L65" i="33"/>
  <c r="L66" i="33"/>
  <c r="L62" i="29"/>
  <c r="L63" i="29"/>
  <c r="F27" i="4"/>
  <c r="E27" i="4"/>
  <c r="H27" i="4"/>
  <c r="G27" i="4"/>
  <c r="L73" i="34"/>
  <c r="L74" i="34"/>
  <c r="L65" i="14"/>
  <c r="L66" i="14"/>
  <c r="L65" i="31"/>
  <c r="L66" i="31"/>
  <c r="K54" i="12"/>
  <c r="L54" i="12"/>
  <c r="J22" i="12"/>
  <c r="L22" i="12"/>
  <c r="L24" i="12"/>
  <c r="L38" i="12"/>
  <c r="L39" i="12"/>
  <c r="K56" i="12"/>
  <c r="L56" i="12"/>
  <c r="L41" i="11"/>
  <c r="L42" i="11"/>
  <c r="L44" i="11"/>
  <c r="T67" i="6"/>
  <c r="T66" i="6"/>
  <c r="T32" i="6"/>
  <c r="S32" i="6"/>
  <c r="T12" i="6"/>
  <c r="S12" i="6"/>
  <c r="T52" i="6"/>
  <c r="T44" i="6"/>
  <c r="S63" i="6"/>
  <c r="T40" i="6"/>
  <c r="T39" i="6"/>
  <c r="S40" i="6"/>
  <c r="S39" i="6"/>
  <c r="Q97" i="2"/>
  <c r="Q81" i="2"/>
  <c r="Q105" i="2"/>
  <c r="P40" i="2"/>
  <c r="N40" i="2"/>
  <c r="O36" i="2"/>
  <c r="O37" i="2"/>
  <c r="Q36" i="2"/>
  <c r="Q79" i="2"/>
  <c r="Q95" i="2"/>
  <c r="Q76" i="2"/>
  <c r="Q92" i="2"/>
  <c r="Q106" i="2"/>
  <c r="Q94" i="2"/>
  <c r="Q78" i="2"/>
  <c r="L62" i="25"/>
  <c r="L63" i="25"/>
  <c r="L42" i="32"/>
  <c r="L43" i="32"/>
  <c r="L45" i="32"/>
  <c r="L65" i="32"/>
  <c r="L65" i="20"/>
  <c r="L66" i="20"/>
  <c r="L65" i="19"/>
  <c r="L66" i="19"/>
  <c r="T35" i="6"/>
  <c r="S35" i="6"/>
  <c r="S25" i="6"/>
  <c r="T25" i="6"/>
  <c r="T20" i="6"/>
  <c r="T18" i="6"/>
  <c r="S20" i="6"/>
  <c r="S56" i="6"/>
  <c r="S10" i="6"/>
  <c r="T10" i="6"/>
  <c r="Q93" i="2"/>
  <c r="Q77" i="2"/>
  <c r="Q39" i="2"/>
  <c r="Q83" i="2"/>
  <c r="Q99" i="2"/>
  <c r="Q80" i="2"/>
  <c r="Q96" i="2"/>
  <c r="F15" i="4"/>
  <c r="E15" i="4"/>
  <c r="H15" i="4"/>
  <c r="G15" i="4"/>
  <c r="Q90" i="2"/>
  <c r="Q74" i="2"/>
  <c r="K41" i="2"/>
  <c r="E42" i="2"/>
  <c r="F42" i="2"/>
  <c r="L65" i="16"/>
  <c r="L66" i="16"/>
  <c r="T50" i="6"/>
  <c r="T48" i="6"/>
  <c r="S50" i="6"/>
  <c r="S48" i="6"/>
  <c r="T42" i="6"/>
  <c r="S42" i="6"/>
  <c r="L40" i="30"/>
  <c r="L41" i="30"/>
  <c r="L43" i="30"/>
  <c r="L63" i="30"/>
  <c r="L37" i="26"/>
  <c r="L38" i="26"/>
  <c r="L40" i="26"/>
  <c r="L61" i="26"/>
  <c r="L42" i="17"/>
  <c r="L41" i="17"/>
  <c r="L44" i="17"/>
  <c r="L63" i="17"/>
  <c r="L116" i="8"/>
  <c r="L118" i="8"/>
  <c r="S68" i="6"/>
  <c r="S66" i="6"/>
  <c r="S19" i="6"/>
  <c r="S18" i="6"/>
  <c r="T13" i="6"/>
  <c r="S13" i="6"/>
  <c r="Q89" i="2"/>
  <c r="Q73" i="2"/>
  <c r="Q66" i="2"/>
  <c r="Q87" i="2"/>
  <c r="Q103" i="2"/>
  <c r="Q84" i="2"/>
  <c r="Q100" i="2"/>
  <c r="Q102" i="2"/>
  <c r="Q86" i="2"/>
  <c r="N67" i="2"/>
  <c r="P67" i="2"/>
  <c r="L66" i="18"/>
  <c r="L67" i="18"/>
  <c r="L37" i="23"/>
  <c r="L36" i="23"/>
  <c r="L39" i="23"/>
  <c r="L56" i="23"/>
  <c r="S45" i="6"/>
  <c r="T65" i="6"/>
  <c r="T62" i="6"/>
  <c r="S65" i="6"/>
  <c r="L38" i="24"/>
  <c r="L37" i="24"/>
  <c r="L40" i="24"/>
  <c r="L61" i="24"/>
  <c r="T60" i="6"/>
  <c r="S60" i="6"/>
  <c r="T55" i="6"/>
  <c r="T54" i="6"/>
  <c r="S55" i="6"/>
  <c r="S54" i="6"/>
  <c r="S28" i="6"/>
  <c r="T28" i="6"/>
  <c r="S22" i="6"/>
  <c r="T22" i="6"/>
  <c r="T14" i="6"/>
  <c r="S14" i="6"/>
  <c r="S17" i="6"/>
  <c r="T17" i="6"/>
  <c r="Q101" i="2"/>
  <c r="Q85" i="2"/>
  <c r="N163" i="3"/>
  <c r="N165" i="3"/>
  <c r="C11" i="4"/>
  <c r="Q75" i="2"/>
  <c r="Q91" i="2"/>
  <c r="Q72" i="2"/>
  <c r="Q88" i="2"/>
  <c r="Q104" i="2"/>
  <c r="Q98" i="2"/>
  <c r="Q82" i="2"/>
  <c r="E69" i="2"/>
  <c r="F69" i="2"/>
  <c r="K68" i="2"/>
  <c r="Q38" i="2"/>
  <c r="O38" i="2"/>
  <c r="O39" i="2"/>
  <c r="L66" i="32"/>
  <c r="L67" i="32"/>
  <c r="L62" i="24"/>
  <c r="L63" i="24"/>
  <c r="L64" i="17"/>
  <c r="L65" i="17"/>
  <c r="L57" i="23"/>
  <c r="L58" i="23"/>
  <c r="L64" i="30"/>
  <c r="L65" i="30"/>
  <c r="K60" i="11"/>
  <c r="Q67" i="2"/>
  <c r="L119" i="8"/>
  <c r="L120" i="8"/>
  <c r="S62" i="6"/>
  <c r="L41" i="12"/>
  <c r="L40" i="12"/>
  <c r="L43" i="12"/>
  <c r="K57" i="12"/>
  <c r="F24" i="4"/>
  <c r="E24" i="4"/>
  <c r="H24" i="4"/>
  <c r="G24" i="4"/>
  <c r="E70" i="2"/>
  <c r="F70" i="2"/>
  <c r="K69" i="2"/>
  <c r="E43" i="2"/>
  <c r="F43" i="2"/>
  <c r="K42" i="2"/>
  <c r="P68" i="2"/>
  <c r="N68" i="2"/>
  <c r="F12" i="4"/>
  <c r="F38" i="4"/>
  <c r="E12" i="4"/>
  <c r="E38" i="4"/>
  <c r="H12" i="4"/>
  <c r="H38" i="4"/>
  <c r="C38" i="4"/>
  <c r="D23" i="4"/>
  <c r="G12" i="4"/>
  <c r="G38" i="4"/>
  <c r="L62" i="26"/>
  <c r="L63" i="26"/>
  <c r="P41" i="2"/>
  <c r="N41" i="2"/>
  <c r="Q40" i="2"/>
  <c r="O40" i="2"/>
  <c r="D11" i="4"/>
  <c r="Q68" i="2"/>
  <c r="E44" i="2"/>
  <c r="F44" i="2"/>
  <c r="K43" i="2"/>
  <c r="H40" i="4"/>
  <c r="P69" i="2"/>
  <c r="N69" i="2"/>
  <c r="L60" i="11"/>
  <c r="K61" i="11"/>
  <c r="L61" i="11"/>
  <c r="G40" i="4"/>
  <c r="Q41" i="2"/>
  <c r="O41" i="2"/>
  <c r="E40" i="4"/>
  <c r="E41" i="4"/>
  <c r="E39" i="4"/>
  <c r="F39" i="4"/>
  <c r="G39" i="4"/>
  <c r="H39" i="4"/>
  <c r="E71" i="2"/>
  <c r="F71" i="2"/>
  <c r="K71" i="2"/>
  <c r="K70" i="2"/>
  <c r="C43" i="4"/>
  <c r="C40" i="4"/>
  <c r="D29" i="4"/>
  <c r="C44" i="4"/>
  <c r="E44" i="4"/>
  <c r="E45" i="4"/>
  <c r="D20" i="4"/>
  <c r="J40" i="4"/>
  <c r="L40" i="4"/>
  <c r="I40" i="4"/>
  <c r="K40" i="4"/>
  <c r="D17" i="4"/>
  <c r="D35" i="4"/>
  <c r="D32" i="4"/>
  <c r="D26" i="4"/>
  <c r="D14" i="4"/>
  <c r="F44" i="4"/>
  <c r="F45" i="4"/>
  <c r="F40" i="4"/>
  <c r="N42" i="2"/>
  <c r="P42" i="2"/>
  <c r="D40" i="4"/>
  <c r="L57" i="12"/>
  <c r="K58" i="12"/>
  <c r="L58" i="12"/>
  <c r="P43" i="2"/>
  <c r="N43" i="2"/>
  <c r="J44" i="4"/>
  <c r="J45" i="4"/>
  <c r="I44" i="4"/>
  <c r="I45" i="4"/>
  <c r="K44" i="4"/>
  <c r="K45" i="4"/>
  <c r="L44" i="4"/>
  <c r="L45" i="4"/>
  <c r="L59" i="12"/>
  <c r="L61" i="12"/>
  <c r="L63" i="12"/>
  <c r="P70" i="2"/>
  <c r="N70" i="2"/>
  <c r="L62" i="11"/>
  <c r="L64" i="11"/>
  <c r="L66" i="11"/>
  <c r="H44" i="4"/>
  <c r="H45" i="4"/>
  <c r="E45" i="2"/>
  <c r="F45" i="2"/>
  <c r="K44" i="2"/>
  <c r="O42" i="2"/>
  <c r="Q42" i="2"/>
  <c r="N71" i="2"/>
  <c r="P71" i="2"/>
  <c r="F41" i="4"/>
  <c r="G41" i="4"/>
  <c r="H41" i="4"/>
  <c r="I41" i="4"/>
  <c r="J41" i="4"/>
  <c r="K41" i="4"/>
  <c r="L41" i="4"/>
  <c r="G44" i="4"/>
  <c r="G45" i="4"/>
  <c r="C46" i="4"/>
  <c r="C47" i="4"/>
  <c r="Q69" i="2"/>
  <c r="P44" i="2"/>
  <c r="N44" i="2"/>
  <c r="O43" i="2"/>
  <c r="Q43" i="2"/>
  <c r="Q71" i="2"/>
  <c r="K45" i="2"/>
  <c r="E46" i="2"/>
  <c r="F46" i="2"/>
  <c r="Q70" i="2"/>
  <c r="Q44" i="2"/>
  <c r="O44" i="2"/>
  <c r="E47" i="2"/>
  <c r="F47" i="2"/>
  <c r="K46" i="2"/>
  <c r="P45" i="2"/>
  <c r="N45" i="2"/>
  <c r="Q45" i="2"/>
  <c r="O45" i="2"/>
  <c r="E48" i="2"/>
  <c r="F48" i="2"/>
  <c r="K47" i="2"/>
  <c r="N46" i="2"/>
  <c r="P46" i="2"/>
  <c r="E49" i="2"/>
  <c r="F49" i="2"/>
  <c r="K48" i="2"/>
  <c r="Q46" i="2"/>
  <c r="O46" i="2"/>
  <c r="P47" i="2"/>
  <c r="N47" i="2"/>
  <c r="P48" i="2"/>
  <c r="N48" i="2"/>
  <c r="O47" i="2"/>
  <c r="Q47" i="2"/>
  <c r="K49" i="2"/>
  <c r="E50" i="2"/>
  <c r="F50" i="2"/>
  <c r="E51" i="2"/>
  <c r="F51" i="2"/>
  <c r="K50" i="2"/>
  <c r="P49" i="2"/>
  <c r="N49" i="2"/>
  <c r="O48" i="2"/>
  <c r="Q48" i="2"/>
  <c r="Q49" i="2"/>
  <c r="O49" i="2"/>
  <c r="N50" i="2"/>
  <c r="P50" i="2"/>
  <c r="E52" i="2"/>
  <c r="F52" i="2"/>
  <c r="K51" i="2"/>
  <c r="Q50" i="2"/>
  <c r="O50" i="2"/>
  <c r="P51" i="2"/>
  <c r="N51" i="2"/>
  <c r="K52" i="2"/>
  <c r="E53" i="2"/>
  <c r="F53" i="2"/>
  <c r="O51" i="2"/>
  <c r="Q51" i="2"/>
  <c r="P52" i="2"/>
  <c r="N52" i="2"/>
  <c r="E54" i="2"/>
  <c r="F54" i="2"/>
  <c r="K53" i="2"/>
  <c r="E55" i="2"/>
  <c r="F55" i="2"/>
  <c r="K54" i="2"/>
  <c r="Q52" i="2"/>
  <c r="O52" i="2"/>
  <c r="P53" i="2"/>
  <c r="N53" i="2"/>
  <c r="Q53" i="2"/>
  <c r="O53" i="2"/>
  <c r="N54" i="2"/>
  <c r="P54" i="2"/>
  <c r="E56" i="2"/>
  <c r="F56" i="2"/>
  <c r="K55" i="2"/>
  <c r="K56" i="2"/>
  <c r="E57" i="2"/>
  <c r="F57" i="2"/>
  <c r="O54" i="2"/>
  <c r="Q54" i="2"/>
  <c r="P55" i="2"/>
  <c r="N55" i="2"/>
  <c r="O55" i="2"/>
  <c r="Q55" i="2"/>
  <c r="E58" i="2"/>
  <c r="F58" i="2"/>
  <c r="K57" i="2"/>
  <c r="P56" i="2"/>
  <c r="N56" i="2"/>
  <c r="P57" i="2"/>
  <c r="N57" i="2"/>
  <c r="E59" i="2"/>
  <c r="F59" i="2"/>
  <c r="K58" i="2"/>
  <c r="Q56" i="2"/>
  <c r="O56" i="2"/>
  <c r="N58" i="2"/>
  <c r="P58" i="2"/>
  <c r="E60" i="2"/>
  <c r="F60" i="2"/>
  <c r="K59" i="2"/>
  <c r="Q57" i="2"/>
  <c r="O57" i="2"/>
  <c r="P59" i="2"/>
  <c r="N59" i="2"/>
  <c r="K60" i="2"/>
  <c r="E61" i="2"/>
  <c r="F61" i="2"/>
  <c r="O58" i="2"/>
  <c r="Q58" i="2"/>
  <c r="E62" i="2"/>
  <c r="F62" i="2"/>
  <c r="K61" i="2"/>
  <c r="P60" i="2"/>
  <c r="N60" i="2"/>
  <c r="O59" i="2"/>
  <c r="Q59" i="2"/>
  <c r="Q60" i="2"/>
  <c r="O60" i="2"/>
  <c r="P61" i="2"/>
  <c r="N61" i="2"/>
  <c r="E63" i="2"/>
  <c r="F63" i="2"/>
  <c r="K62" i="2"/>
  <c r="Q61" i="2"/>
  <c r="O61" i="2"/>
  <c r="N62" i="2"/>
  <c r="P62" i="2"/>
  <c r="E64" i="2"/>
  <c r="F64" i="2"/>
  <c r="K63" i="2"/>
  <c r="K64" i="2"/>
  <c r="E65" i="2"/>
  <c r="F65" i="2"/>
  <c r="K65" i="2"/>
  <c r="O62" i="2"/>
  <c r="Q62" i="2"/>
  <c r="P63" i="2"/>
  <c r="N63" i="2"/>
  <c r="P64" i="2"/>
  <c r="N64" i="2"/>
  <c r="O63" i="2"/>
  <c r="Q63" i="2"/>
  <c r="N65" i="2"/>
  <c r="P65" i="2"/>
  <c r="P107" i="2"/>
  <c r="K107" i="2"/>
  <c r="P28" i="2"/>
  <c r="Q64" i="2"/>
  <c r="O64" i="2"/>
  <c r="Q65" i="2"/>
  <c r="Q107" i="2"/>
  <c r="O65" i="2"/>
  <c r="O66" i="2"/>
  <c r="O67" i="2"/>
  <c r="O68" i="2"/>
  <c r="O69" i="2"/>
  <c r="O70" i="2"/>
  <c r="O71" i="2"/>
  <c r="O72" i="2"/>
  <c r="O73" i="2"/>
  <c r="O74" i="2"/>
  <c r="O75" i="2"/>
  <c r="O76" i="2"/>
  <c r="O77" i="2"/>
  <c r="O78" i="2"/>
  <c r="O79" i="2"/>
  <c r="O80" i="2"/>
  <c r="O81" i="2"/>
  <c r="O82" i="2"/>
  <c r="O83" i="2"/>
  <c r="O84" i="2"/>
  <c r="O85" i="2"/>
  <c r="O86" i="2"/>
  <c r="O87" i="2"/>
  <c r="O88" i="2"/>
  <c r="O89" i="2"/>
  <c r="O90" i="2"/>
  <c r="O91" i="2"/>
  <c r="O92" i="2"/>
  <c r="O93" i="2"/>
  <c r="O94" i="2"/>
  <c r="O95" i="2"/>
  <c r="O96" i="2"/>
  <c r="O97" i="2"/>
  <c r="O98" i="2"/>
  <c r="O99" i="2"/>
  <c r="O100" i="2"/>
  <c r="O101" i="2"/>
  <c r="O102" i="2"/>
  <c r="O103" i="2"/>
  <c r="O104" i="2"/>
  <c r="O105" i="2"/>
  <c r="O106" i="2"/>
  <c r="O107" i="2"/>
  <c r="N114" i="2"/>
  <c r="N111" i="2"/>
</calcChain>
</file>

<file path=xl/sharedStrings.xml><?xml version="1.0" encoding="utf-8"?>
<sst xmlns="http://schemas.openxmlformats.org/spreadsheetml/2006/main" count="3268" uniqueCount="790">
  <si>
    <t>PLANILHA DE CAMPO</t>
  </si>
  <si>
    <t>Objeto:</t>
  </si>
  <si>
    <t>Extensão Total (km)</t>
  </si>
  <si>
    <t>Local:</t>
  </si>
  <si>
    <t>Município:</t>
  </si>
  <si>
    <t>Equip. GPS:</t>
  </si>
  <si>
    <t>Data do Levantamento:</t>
  </si>
  <si>
    <t>Pontos</t>
  </si>
  <si>
    <t>Coordenadas Geográficas</t>
  </si>
  <si>
    <t>Altitude</t>
  </si>
  <si>
    <t>Distância até o próximo ponto (m)</t>
  </si>
  <si>
    <t>Distância Acumulada (m)</t>
  </si>
  <si>
    <t>Descrição resumida do ponto inicial</t>
  </si>
  <si>
    <t>Comprim. Obra Arte (m)</t>
  </si>
  <si>
    <t>Latitude</t>
  </si>
  <si>
    <t>Longitude</t>
  </si>
  <si>
    <t>(m)</t>
  </si>
  <si>
    <t>TRECHOS DE CONSTRUÇÃO</t>
  </si>
  <si>
    <t>Extensão do trecho</t>
  </si>
  <si>
    <t>Trecho de Construção</t>
  </si>
  <si>
    <t>TRECHOS DE RECUPERAÇÃO</t>
  </si>
  <si>
    <t xml:space="preserve"> -0,927155°</t>
  </si>
  <si>
    <t>-47,396695°</t>
  </si>
  <si>
    <t>INÍCIO VICINAL DE ACESSO À RESEX CHOCOARÉ-MATO GROSSO</t>
  </si>
  <si>
    <t>-0,865469°</t>
  </si>
  <si>
    <t>-47,378145°</t>
  </si>
  <si>
    <t>FIM DO TRECHO – ACESSO AO TRAPICHE DA RESEX CHOCOARÉ MATO GROSSO</t>
  </si>
  <si>
    <t xml:space="preserve"> -0.889875°</t>
  </si>
  <si>
    <t>-47.372992°</t>
  </si>
  <si>
    <t>INÍCIO VICINAL LATERAL AO ACESSO À RESEX CHOCOARÉ-MATO GROSSO</t>
  </si>
  <si>
    <t xml:space="preserve"> -0.914390°</t>
  </si>
  <si>
    <t>-47.360014°</t>
  </si>
  <si>
    <t xml:space="preserve">FIM DO TRECHO </t>
  </si>
  <si>
    <t>Trecho de Recuperação</t>
  </si>
  <si>
    <t>JAZIDAS CATALOGADAS</t>
  </si>
  <si>
    <t>ÁREA</t>
  </si>
  <si>
    <t xml:space="preserve"> -1.781289°</t>
  </si>
  <si>
    <t>-47.491282°</t>
  </si>
  <si>
    <t>Total</t>
  </si>
  <si>
    <t>PARCIAL CONSTRUÇÃO</t>
  </si>
  <si>
    <t>km</t>
  </si>
  <si>
    <t>PARCIAL RECUPERAÇÃO</t>
  </si>
  <si>
    <t>DISTÂNCIA TOTAL</t>
  </si>
  <si>
    <t>Seção padrão</t>
  </si>
  <si>
    <t>Sim</t>
  </si>
  <si>
    <t>BSTC 40</t>
  </si>
  <si>
    <t>Seção triangular</t>
  </si>
  <si>
    <t>DMT≤50</t>
  </si>
  <si>
    <t>Não</t>
  </si>
  <si>
    <t>BSTC 60</t>
  </si>
  <si>
    <t>SIRGAS 2000</t>
  </si>
  <si>
    <t>Seção cheia</t>
  </si>
  <si>
    <t>50&lt;DMT≤200</t>
  </si>
  <si>
    <t>BSTC 80</t>
  </si>
  <si>
    <t>WGS 84</t>
  </si>
  <si>
    <t>200&lt;DMT≤400</t>
  </si>
  <si>
    <t>BSTC 100</t>
  </si>
  <si>
    <t>400&lt;DMT≤600</t>
  </si>
  <si>
    <t>BSTC 120</t>
  </si>
  <si>
    <t>600&lt;DMT≤800</t>
  </si>
  <si>
    <t>BSTC 150</t>
  </si>
  <si>
    <t>800&lt;DMT≤1000</t>
  </si>
  <si>
    <t>BDTC 40</t>
  </si>
  <si>
    <t>DMT&gt;1000</t>
  </si>
  <si>
    <t>BDTC 60</t>
  </si>
  <si>
    <t>DMT≤50 (2ª Cat)</t>
  </si>
  <si>
    <t>BDTC 80</t>
  </si>
  <si>
    <t>50&lt;DMT≤200 (2ª Cat)</t>
  </si>
  <si>
    <t>BDTC 100</t>
  </si>
  <si>
    <t>200&lt;DMT≤1000 (2ª Cat)</t>
  </si>
  <si>
    <t>BDTC 120</t>
  </si>
  <si>
    <t>DMT≤50 (3ª Cat)</t>
  </si>
  <si>
    <t>BDTC 150</t>
  </si>
  <si>
    <t>BTTC 40</t>
  </si>
  <si>
    <t>BTTC 60</t>
  </si>
  <si>
    <t>BTTC 80</t>
  </si>
  <si>
    <t>BTTC 100</t>
  </si>
  <si>
    <t>BTTC 120</t>
  </si>
  <si>
    <t>BTTC 150</t>
  </si>
  <si>
    <t>Pontilhão</t>
  </si>
  <si>
    <t>Ponte</t>
  </si>
  <si>
    <t>Mata burro</t>
  </si>
  <si>
    <t>P. Molhada</t>
  </si>
  <si>
    <t>NOTA DE SERVIÇOS - TERRAPLENAGEM / OBRAS DE ARTE CORRENTE (OAC) / OBRAS DE ARTE ESPECIAL (OAE)</t>
  </si>
  <si>
    <t>Trecho:</t>
  </si>
  <si>
    <t>Município / UF:</t>
  </si>
  <si>
    <t>Volume da seção padrão:</t>
  </si>
  <si>
    <t>m³ / m</t>
  </si>
  <si>
    <t>Larg. plataforma (m):</t>
  </si>
  <si>
    <t>Extensão:</t>
  </si>
  <si>
    <t xml:space="preserve">OBSERVAÇÃO: </t>
  </si>
  <si>
    <t>As células com fundo VERDE não devem sofrer interferências pelo usuário, devendo este preencher apenas as informações necessárias, encontradas nas células que estão em fundo AMARELO.</t>
  </si>
  <si>
    <t>Larg. Revestimento (m):</t>
  </si>
  <si>
    <t>Ponto</t>
  </si>
  <si>
    <t>Datum:</t>
  </si>
  <si>
    <t>Localização
(km + m)</t>
  </si>
  <si>
    <t>Descrição dos serviços a executar</t>
  </si>
  <si>
    <t>Obras de Arte Corrente (OAC) e Obras de Arte Especiais (OAE) a executar</t>
  </si>
  <si>
    <t>ATERRO</t>
  </si>
  <si>
    <t>Seção longitudinal de cálculo**</t>
  </si>
  <si>
    <t>Conformação da plataforma (m²)</t>
  </si>
  <si>
    <t>Compactação (m³)</t>
  </si>
  <si>
    <t>COORDENADAS UTM</t>
  </si>
  <si>
    <t>Extensão (m)</t>
  </si>
  <si>
    <t>Altura* (m)</t>
  </si>
  <si>
    <t>DMT (m)</t>
  </si>
  <si>
    <t>Volume (m³)</t>
  </si>
  <si>
    <t>Zona</t>
  </si>
  <si>
    <t>E</t>
  </si>
  <si>
    <t>N</t>
  </si>
  <si>
    <t>Início</t>
  </si>
  <si>
    <t>Final</t>
  </si>
  <si>
    <t>Tipo</t>
  </si>
  <si>
    <t>Comp. (m)</t>
  </si>
  <si>
    <t>Quant. Alas Bueiro (un)</t>
  </si>
  <si>
    <t>Parcial</t>
  </si>
  <si>
    <t>Acumulado</t>
  </si>
  <si>
    <t>23M</t>
  </si>
  <si>
    <t>Início do Trecho – Acesso à Resex Chocoaré-Matogrosso</t>
  </si>
  <si>
    <t>Seção Padrão</t>
  </si>
  <si>
    <t>BDTC Ø = 1,00 m com bocas em pedras argamassadas, rebocadas</t>
  </si>
  <si>
    <t>BSTC Ø = 1,00 m com bocas em pedras argamassadas, rebocadas</t>
  </si>
  <si>
    <t>BSTC Ø = 0,60 m com bocas em pedras argamassadas, rebocadas</t>
  </si>
  <si>
    <t>Seção Padrão – curva à direita</t>
  </si>
  <si>
    <t>Fim do trecho – acesso ao trapiche Chocoaré-Mato Grosso</t>
  </si>
  <si>
    <t>Cruzamento vicinal de acesso à RESEX Chocoaré-Matogrosso</t>
  </si>
  <si>
    <t>Fim do trecho</t>
  </si>
  <si>
    <t>OBSERVAÇÕES:</t>
  </si>
  <si>
    <t>Resumo Serviços de Terraplenagem</t>
  </si>
  <si>
    <t>Seção padrão - DMT≤50</t>
  </si>
  <si>
    <t xml:space="preserve">*  Recobrimentos de bueiros padrões (mínimos): BSTC Ø = 0,40 m =&gt; 0,20 m; BSTC Ø = 0,60 m =&gt; 0,40 m; BSTC Ø = 0,80 m =&gt; 0,60 m; Acima de BSTC Ø = 1,00 m =&gt; 0,80 m. </t>
  </si>
  <si>
    <t xml:space="preserve">** Seção cheia - para regiões predominantemente planas;  Seção triangular - para regiões de relevo predominantemente acidentado   </t>
  </si>
  <si>
    <t>CARACTERÍSTICAS GERAIS DAS VICINAIS</t>
  </si>
  <si>
    <t>Desmatamento</t>
  </si>
  <si>
    <t>Larg. desmat. e limp. cam. veget.=</t>
  </si>
  <si>
    <t>m</t>
  </si>
  <si>
    <t>Larg. desmat. árvores ≤ 0,15 m =</t>
  </si>
  <si>
    <t>Larg. desmat. árvores &gt; 0,15 m =</t>
  </si>
  <si>
    <t>Terraplenagem</t>
  </si>
  <si>
    <t>Volume da seção padrão =</t>
  </si>
  <si>
    <r>
      <rPr>
        <b/>
        <sz val="10"/>
        <rFont val="Arial"/>
        <family val="2"/>
        <charset val="1"/>
      </rPr>
      <t>m</t>
    </r>
    <r>
      <rPr>
        <b/>
        <vertAlign val="superscript"/>
        <sz val="10"/>
        <rFont val="Arial"/>
        <family val="2"/>
        <charset val="1"/>
      </rPr>
      <t>3</t>
    </r>
    <r>
      <rPr>
        <b/>
        <sz val="10"/>
        <rFont val="Arial"/>
        <family val="2"/>
        <charset val="1"/>
      </rPr>
      <t xml:space="preserve"> / m</t>
    </r>
  </si>
  <si>
    <t>Plataforma final terraplenagem =</t>
  </si>
  <si>
    <t xml:space="preserve">Altura da seção padrão = </t>
  </si>
  <si>
    <t>Base do aterro (distância entre linhas d'água - inclinação de talude em 2 / 3) =</t>
  </si>
  <si>
    <t>Caixas de retenção</t>
  </si>
  <si>
    <t>Compactação de falso greide?</t>
  </si>
  <si>
    <t>Quantidade média =</t>
  </si>
  <si>
    <t>un/km</t>
  </si>
  <si>
    <t>Dimensões =</t>
  </si>
  <si>
    <t>(C  L H) m - Trapezoidal</t>
  </si>
  <si>
    <t>Revestimento</t>
  </si>
  <si>
    <t xml:space="preserve">Fator de empolamento do solo = </t>
  </si>
  <si>
    <t>Lombadas</t>
  </si>
  <si>
    <t>Plataforma final do revestimento =</t>
  </si>
  <si>
    <t xml:space="preserve">Espessura do revestimento = </t>
  </si>
  <si>
    <t>(C  L  H) m - Trapezoidal</t>
  </si>
  <si>
    <t xml:space="preserve">Trecho a ser revestido = </t>
  </si>
  <si>
    <t>km de revestimento / km de vicinal</t>
  </si>
  <si>
    <t>Drenagem</t>
  </si>
  <si>
    <t>Extensão dos bigodes =</t>
  </si>
  <si>
    <t>m/km</t>
  </si>
  <si>
    <t>Planilha Orçamentária</t>
  </si>
  <si>
    <t>Meta:</t>
  </si>
  <si>
    <t>Data Orçamento:</t>
  </si>
  <si>
    <t>Discriminação dos serviços</t>
  </si>
  <si>
    <t>Unid.</t>
  </si>
  <si>
    <t>Quant.</t>
  </si>
  <si>
    <t>Preço unitário (R$)</t>
  </si>
  <si>
    <t>Preço total  (R$)</t>
  </si>
  <si>
    <t>I</t>
  </si>
  <si>
    <t xml:space="preserve"> - SERVIÇOS PRELIMINARES, MOBILIZAÇÃO E INSTALAÇÃO DE CANTEIRO</t>
  </si>
  <si>
    <t>1.2</t>
  </si>
  <si>
    <t>1.3</t>
  </si>
  <si>
    <t>II</t>
  </si>
  <si>
    <t xml:space="preserve"> - ELABORAÇÃO DE PROJETOS, ESTUDOS TÉCNICOS E TOPOGRAFIA</t>
  </si>
  <si>
    <t>2.3.1        Vão da ponte (m):</t>
  </si>
  <si>
    <t>2.3.2        Vão da ponte (m):</t>
  </si>
  <si>
    <t>2.3.3        Vão da ponte (m):</t>
  </si>
  <si>
    <t>2.3.4        Vão da ponte (m):</t>
  </si>
  <si>
    <t>III</t>
  </si>
  <si>
    <t xml:space="preserve"> - ADMINISTRAÇÃO LOCAL E SEGURANÇA</t>
  </si>
  <si>
    <t>IV</t>
  </si>
  <si>
    <t xml:space="preserve"> - DESMATAMENTO E LIMPEZA</t>
  </si>
  <si>
    <t>V</t>
  </si>
  <si>
    <t xml:space="preserve"> - TERRAPLENAGEM</t>
  </si>
  <si>
    <t>5.2</t>
  </si>
  <si>
    <t xml:space="preserve"> </t>
  </si>
  <si>
    <t xml:space="preserve">DMT (km) = </t>
  </si>
  <si>
    <t xml:space="preserve">Peso Espec. (ton/m³) = </t>
  </si>
  <si>
    <t xml:space="preserve">Fator empolam. (%) = </t>
  </si>
  <si>
    <t>5.3</t>
  </si>
  <si>
    <t>5.4</t>
  </si>
  <si>
    <t>5.5</t>
  </si>
  <si>
    <t>5.6</t>
  </si>
  <si>
    <t>Percentural de expurgo =</t>
  </si>
  <si>
    <t>5.7</t>
  </si>
  <si>
    <t>5.8</t>
  </si>
  <si>
    <t>VI</t>
  </si>
  <si>
    <t xml:space="preserve"> - OBRAS DE ARTES CORRENTES</t>
  </si>
  <si>
    <t>Material utilizado nas bocas de bueiro e caixas coletoras (indicar ao lado):</t>
  </si>
  <si>
    <t>Concreto ciclópico</t>
  </si>
  <si>
    <t>6.1</t>
  </si>
  <si>
    <t>6.2</t>
  </si>
  <si>
    <t>6.3</t>
  </si>
  <si>
    <t>Conc. Ciclop.</t>
  </si>
  <si>
    <t>Pedra Arg.</t>
  </si>
  <si>
    <t>un</t>
  </si>
  <si>
    <t>6.4</t>
  </si>
  <si>
    <t>6.5</t>
  </si>
  <si>
    <t>6.6</t>
  </si>
  <si>
    <t>VII</t>
  </si>
  <si>
    <t xml:space="preserve"> - OBRAS DE ARTES ESPECIAIS, SINALIZAÇÕES E MATA BURRO</t>
  </si>
  <si>
    <t>*</t>
  </si>
  <si>
    <t xml:space="preserve"> - REVESTIMENTO PRIMÁRIO</t>
  </si>
  <si>
    <t>7.1</t>
  </si>
  <si>
    <t>Tipo de material:</t>
  </si>
  <si>
    <t>1ª Categoria</t>
  </si>
  <si>
    <t>7.2</t>
  </si>
  <si>
    <t>7.3</t>
  </si>
  <si>
    <t>VIII</t>
  </si>
  <si>
    <t xml:space="preserve"> - RECUPERAÇÃO AMBIENTAL DE ÁREA DE EMPRÉSTIMO</t>
  </si>
  <si>
    <t>8.1</t>
  </si>
  <si>
    <t>8.2</t>
  </si>
  <si>
    <t>TOTAL</t>
  </si>
  <si>
    <t>Preço por quilômetro de estrada</t>
  </si>
  <si>
    <t>Obs:</t>
  </si>
  <si>
    <t>Em todas as composições deve ser verificada se há a necessidade de preenchimento de informações de alguma eventual célula, principalmente quanto ao transporte em rodovia em leito natural, revestimento primário ou pavimentada.</t>
  </si>
  <si>
    <t>Para os itens 7.5 e 7.6, deverão ser elaborados projetos específicos com preço da respectiva obra de arte, incluindo os ensaios geotécnicos do subsolo e o controle tecnológico do concreto.</t>
  </si>
  <si>
    <t>Para o item 7.9 (Passagem Molhada), deverá ser elaborado um projeto específico para a obra em questão, com o preenchimento dos quantitativos reais de serviços a serem executados, na aba de sua respectiva composição, de modo a se alcançar o valor da obra de arte, visto que as quantidades lá utilizadas, referem-se a um projeto específico de uma passagem molhada de 61,00 m de comprimento, apresentada a título de exemplificação.</t>
  </si>
  <si>
    <t>As bacias de acumulação (micro bacias - item 3.20) serão executadas nas laterais da estrada para acúmulo de água pluvial, evitando que a mesma escoe por longos trechos, erodindo o solo em sua passagem. A distância entre elas será de acordo com o trecho e sua profundidade deve ser abaixo do nível da estrada.</t>
  </si>
  <si>
    <t>Após executado os trabalhos definidos no ítem VII, os mesmos deverão ser recebidos por profissionais habilitados, através da apresentação de Relatório Técnico, onde conste o georeferenciamento da área recuperada, o atendimento às exigências constantes do PRAD aprovado e a Anotação de Responsabilidade Técnica (ART) do profissional responsável pela vistoria .</t>
  </si>
  <si>
    <t>A partir do volume de material compactado em 8.4, para o cálculo dos volumes de material no corte em 6.1 foram adotados os fatores de homegeneização indicados pelo DNIT no Manual de Implantação Básica de Rodovias - IPR 742 (pág. 497), onde Fh é 1,0 para material de 1ª categoria, 1,15 para material de 2ª categoria e 1,45 para material de 3ª categoria (em materiais não ensaiados). Fh = Dcomp/Dcorte</t>
  </si>
  <si>
    <t>Estabilização Química de Solo</t>
  </si>
  <si>
    <t>CRONOGRAMA  FÍSICO - FINANCEIRO</t>
  </si>
  <si>
    <t>Obra:</t>
  </si>
  <si>
    <t>Km</t>
  </si>
  <si>
    <t>Prazo de execução:</t>
  </si>
  <si>
    <t>dias</t>
  </si>
  <si>
    <t>Data:</t>
  </si>
  <si>
    <t>ITEM</t>
  </si>
  <si>
    <t>ETAPAS</t>
  </si>
  <si>
    <t>VALOR TOTAL</t>
  </si>
  <si>
    <t>%</t>
  </si>
  <si>
    <t>PERÍODO (dias)</t>
  </si>
  <si>
    <t>Preço parciais ( R$ )</t>
  </si>
  <si>
    <t>R$</t>
  </si>
  <si>
    <t>Preço acumulados ( R$ )</t>
  </si>
  <si>
    <t>Percentuais parciais ( % )</t>
  </si>
  <si>
    <t>Percentuais acumulados ( % )</t>
  </si>
  <si>
    <t>/ km</t>
  </si>
  <si>
    <t>Contrapartida proposta ( % ) =</t>
  </si>
  <si>
    <t>Proponente</t>
  </si>
  <si>
    <t xml:space="preserve"> Proponente =</t>
  </si>
  <si>
    <t>Convenente</t>
  </si>
  <si>
    <t>Convenente =</t>
  </si>
  <si>
    <t>Total =</t>
  </si>
  <si>
    <t>PREFEITURA DE SANTARÉM NOVO</t>
  </si>
  <si>
    <t>Planilha de Composição do BDI - CONSTRUÇÃO DE RODOVIAS</t>
  </si>
  <si>
    <t>DESCRIÇÃO DAS PARCELAS</t>
  </si>
  <si>
    <t>INTERVALO DE ADMISSIBILIDADE</t>
  </si>
  <si>
    <t>GRUPO A:</t>
  </si>
  <si>
    <t>DESPESAS INDIRETAS</t>
  </si>
  <si>
    <t>1º Quartil</t>
  </si>
  <si>
    <t>Média</t>
  </si>
  <si>
    <t>3º Quartil</t>
  </si>
  <si>
    <t>VALORES PROPOSTOS %</t>
  </si>
  <si>
    <r>
      <rPr>
        <b/>
        <i/>
        <sz val="10"/>
        <rFont val="Arial"/>
        <family val="2"/>
        <charset val="1"/>
      </rPr>
      <t xml:space="preserve">% sobre CD </t>
    </r>
    <r>
      <rPr>
        <b/>
        <i/>
        <vertAlign val="superscript"/>
        <sz val="11"/>
        <rFont val="Arial"/>
        <family val="2"/>
        <charset val="1"/>
      </rPr>
      <t>2</t>
    </r>
  </si>
  <si>
    <t>AC</t>
  </si>
  <si>
    <t>Administração Central</t>
  </si>
  <si>
    <t>Variável ƒ (CD)</t>
  </si>
  <si>
    <t>DF</t>
  </si>
  <si>
    <t>Despesas Financeiras</t>
  </si>
  <si>
    <t>do CD</t>
  </si>
  <si>
    <t>S+G</t>
  </si>
  <si>
    <t>Seguros e Garantias Contratuais</t>
  </si>
  <si>
    <t>R</t>
  </si>
  <si>
    <t>Riscos</t>
  </si>
  <si>
    <t xml:space="preserve">Total Grupo A </t>
  </si>
  <si>
    <t>GRUPO B:</t>
  </si>
  <si>
    <t>BENEFÍCIOS</t>
  </si>
  <si>
    <t>L</t>
  </si>
  <si>
    <t>Lucro operacional</t>
  </si>
  <si>
    <t xml:space="preserve">Total Grupo B </t>
  </si>
  <si>
    <t>GRUPO C:</t>
  </si>
  <si>
    <t>TRIBUTOS INCIDENTES</t>
  </si>
  <si>
    <r>
      <rPr>
        <b/>
        <i/>
        <sz val="10"/>
        <rFont val="Arial"/>
        <family val="2"/>
        <charset val="1"/>
      </rPr>
      <t xml:space="preserve">% sobre PV </t>
    </r>
    <r>
      <rPr>
        <b/>
        <i/>
        <vertAlign val="superscript"/>
        <sz val="11"/>
        <rFont val="Arial"/>
        <family val="2"/>
        <charset val="1"/>
      </rPr>
      <t>1</t>
    </r>
  </si>
  <si>
    <t>PIS</t>
  </si>
  <si>
    <t>do PV</t>
  </si>
  <si>
    <t>Mínimo, médio e máximo - Acórdão 2369/2011 = 0,65%</t>
  </si>
  <si>
    <t>COFINS</t>
  </si>
  <si>
    <t>Mínimo, médio e máximo - Acórdão 2369/2011 = 3,0%</t>
  </si>
  <si>
    <t>ISSQN</t>
  </si>
  <si>
    <r>
      <rPr>
        <i/>
        <sz val="10"/>
        <rFont val="Arial"/>
        <family val="2"/>
        <charset val="1"/>
      </rPr>
      <t xml:space="preserve">Alíquota </t>
    </r>
    <r>
      <rPr>
        <i/>
        <sz val="10"/>
        <rFont val="Calibri"/>
        <family val="2"/>
        <charset val="1"/>
      </rPr>
      <t>≤</t>
    </r>
    <r>
      <rPr>
        <i/>
        <sz val="10"/>
        <rFont val="Arial"/>
        <family val="2"/>
        <charset val="1"/>
      </rPr>
      <t xml:space="preserve"> 5,00% </t>
    </r>
    <r>
      <rPr>
        <b/>
        <i/>
        <vertAlign val="superscript"/>
        <sz val="11"/>
        <rFont val="Arial"/>
        <family val="2"/>
        <charset val="1"/>
      </rPr>
      <t>3</t>
    </r>
  </si>
  <si>
    <t>Máximo - Acórdão 2369/2011 = 3,0%</t>
  </si>
  <si>
    <r>
      <rPr>
        <i/>
        <sz val="10"/>
        <rFont val="Arial"/>
        <family val="2"/>
        <charset val="1"/>
      </rPr>
      <t>% do PV, até o limite de 50,00%, equivalente à prestação de serviços</t>
    </r>
    <r>
      <rPr>
        <b/>
        <i/>
        <vertAlign val="superscript"/>
        <sz val="11"/>
        <rFont val="Arial"/>
        <family val="2"/>
        <charset val="1"/>
      </rPr>
      <t>4</t>
    </r>
  </si>
  <si>
    <t>CPRB (Contribuição Previdenciária sobre a Receita Bruta)</t>
  </si>
  <si>
    <t>Percentual fixo e obrigatório no caso da desoneração</t>
  </si>
  <si>
    <t xml:space="preserve">Total Grupo C </t>
  </si>
  <si>
    <t>VALORES DE BDI PARA OBRAS RODOVIÁRIAS</t>
  </si>
  <si>
    <t>Construção de Rodovias e Ferrovias - Infra Urbana, etc.</t>
  </si>
  <si>
    <t>Verificação do BDI máximo e mínimo:</t>
  </si>
  <si>
    <t>FÓRMULA BÁSICA:</t>
  </si>
  <si>
    <r>
      <rPr>
        <b/>
        <vertAlign val="superscript"/>
        <sz val="10"/>
        <rFont val="Arial"/>
        <family val="2"/>
        <charset val="1"/>
      </rPr>
      <t>1</t>
    </r>
    <r>
      <rPr>
        <b/>
        <sz val="10"/>
        <rFont val="Arial"/>
        <family val="2"/>
        <charset val="1"/>
      </rPr>
      <t xml:space="preserve"> PV</t>
    </r>
    <r>
      <rPr>
        <sz val="11"/>
        <color rgb="FF000000"/>
        <rFont val="Calibri"/>
        <family val="2"/>
        <charset val="1"/>
      </rPr>
      <t xml:space="preserve"> = Preço de Venda</t>
    </r>
  </si>
  <si>
    <r>
      <rPr>
        <b/>
        <vertAlign val="superscript"/>
        <sz val="10"/>
        <rFont val="Arial"/>
        <family val="2"/>
        <charset val="1"/>
      </rPr>
      <t>2</t>
    </r>
    <r>
      <rPr>
        <b/>
        <sz val="10"/>
        <rFont val="Arial"/>
        <family val="2"/>
        <charset val="1"/>
      </rPr>
      <t xml:space="preserve"> CD</t>
    </r>
    <r>
      <rPr>
        <sz val="11"/>
        <color rgb="FF000000"/>
        <rFont val="Calibri"/>
        <family val="2"/>
        <charset val="1"/>
      </rPr>
      <t xml:space="preserve"> = Custo Direto</t>
    </r>
  </si>
  <si>
    <r>
      <rPr>
        <b/>
        <vertAlign val="superscript"/>
        <sz val="10"/>
        <rFont val="Arial"/>
        <family val="2"/>
        <charset val="1"/>
      </rPr>
      <t>3</t>
    </r>
    <r>
      <rPr>
        <sz val="11"/>
        <color rgb="FF000000"/>
        <rFont val="Calibri"/>
        <family val="2"/>
        <charset val="1"/>
      </rPr>
      <t xml:space="preserve"> Alíquota do ISSQN - Alíquota máxima de 5%, variável em função da legislação de cada município, aplicada sobre o valor máximo de 50,0% do PV.</t>
    </r>
  </si>
  <si>
    <r>
      <rPr>
        <b/>
        <vertAlign val="superscript"/>
        <sz val="10"/>
        <rFont val="Arial"/>
        <family val="2"/>
        <charset val="1"/>
      </rPr>
      <t>4</t>
    </r>
    <r>
      <rPr>
        <b/>
        <sz val="10"/>
        <rFont val="Arial"/>
        <family val="2"/>
        <charset val="1"/>
      </rPr>
      <t xml:space="preserve"> % PV equivalente à prestação de serviços</t>
    </r>
    <r>
      <rPr>
        <sz val="11"/>
        <color rgb="FF000000"/>
        <rFont val="Calibri"/>
        <family val="2"/>
        <charset val="1"/>
      </rPr>
      <t xml:space="preserve"> = percentual do custo da mão de obra em relação ao custo total da obra.</t>
    </r>
  </si>
  <si>
    <t>Alíquota da CPRB de 4,5%, conforme a Lei 12.546/2011, alterada pela Lei 13.161/2015, com vigência a partir de 1º de dezembro de 2015.</t>
  </si>
  <si>
    <r>
      <rPr>
        <b/>
        <sz val="10"/>
        <rFont val="Arial"/>
        <family val="2"/>
        <charset val="1"/>
      </rPr>
      <t>Obs:</t>
    </r>
    <r>
      <rPr>
        <sz val="11"/>
        <color rgb="FF000000"/>
        <rFont val="Calibri"/>
        <family val="2"/>
        <charset val="1"/>
      </rPr>
      <t xml:space="preserve"> 1) </t>
    </r>
  </si>
  <si>
    <t>Composição do BDI conforme Acórdão Nº 2.622/2013 / TCU – Plenário, para obras tipo: Construção de Rodovias e Ferrovias.</t>
  </si>
  <si>
    <t xml:space="preserve">2) </t>
  </si>
  <si>
    <t>O percentual de ISSQN aqui utilizado consiste apenas em um referencial médio. O valor real do ISSQN a ser adotado nos orçamentos dos projetos aprovados pelo Incra deve ser aquele proveniente das alíquotas dos municípios situados na área de influência das obras.</t>
  </si>
  <si>
    <t>3)</t>
  </si>
  <si>
    <t>Em função das obras executadas no âmbito do Incra se enquadrarem em obras de baixa complexidade, para os percentuais de admissibilidade do Grupo A, recomenda-se utilizar os índices que constam no 1º Quartil.</t>
  </si>
  <si>
    <t>Descrição de gastos da administração central:</t>
  </si>
  <si>
    <t>DESPESAS A SEREM COBERTAS</t>
  </si>
  <si>
    <t>Pessoal</t>
  </si>
  <si>
    <t>Pró-labore dos sócios, salário dos diretores, gerentes, secretárias, técnicos, estagiários, motoristas, contínuos, etc.</t>
  </si>
  <si>
    <t>Instalações físicas</t>
  </si>
  <si>
    <t>Aluguel e manutenção dos imóveis, incluindo os impostos cabíveis (IPTU).</t>
  </si>
  <si>
    <t>Despesas correntes</t>
  </si>
  <si>
    <t>Água, luz, telefone, internet, correios, jornais e revistas, material de expediente e de limpeza, etc.</t>
  </si>
  <si>
    <t>Veículos e equipamentos</t>
  </si>
  <si>
    <t>Utilitários, fotocopiadores, ploteres, faxes, computadores, ar condicionados, etc.</t>
  </si>
  <si>
    <t>Serviços de terceiros</t>
  </si>
  <si>
    <t>Consultoria para estudos de obras, assessoria contábil e jurídica, publicidade, serviços gráficos, auditoria, treinamento de pessoal, etc.</t>
  </si>
  <si>
    <t>Diversos</t>
  </si>
  <si>
    <t>Anuidades (CREA, Sindicatos), aquisição de editais, seguros, viagens, brindes, etc.</t>
  </si>
  <si>
    <t>PLANILHA DE CUSTOS DE EQUIPAMENTOS</t>
  </si>
  <si>
    <r>
      <rPr>
        <b/>
        <i/>
        <sz val="10"/>
        <rFont val="Arial"/>
        <family val="2"/>
        <charset val="1"/>
      </rPr>
      <t>D</t>
    </r>
    <r>
      <rPr>
        <sz val="11"/>
        <color rgb="FF000000"/>
        <rFont val="Calibri"/>
        <family val="2"/>
        <charset val="1"/>
      </rPr>
      <t xml:space="preserve"> - Óleo Diesel Comum (R$ / litro) = </t>
    </r>
  </si>
  <si>
    <r>
      <rPr>
        <b/>
        <i/>
        <sz val="10"/>
        <rFont val="Arial"/>
        <family val="2"/>
        <charset val="1"/>
      </rPr>
      <t>G</t>
    </r>
    <r>
      <rPr>
        <sz val="11"/>
        <color rgb="FF000000"/>
        <rFont val="Calibri"/>
        <family val="2"/>
        <charset val="1"/>
      </rPr>
      <t xml:space="preserve"> - Gasolina Comum (R$ / litro) = </t>
    </r>
  </si>
  <si>
    <r>
      <rPr>
        <b/>
        <i/>
        <sz val="10"/>
        <rFont val="Arial"/>
        <family val="2"/>
        <charset val="1"/>
      </rPr>
      <t>E</t>
    </r>
    <r>
      <rPr>
        <sz val="11"/>
        <color rgb="FF000000"/>
        <rFont val="Calibri"/>
        <family val="2"/>
        <charset val="1"/>
      </rPr>
      <t xml:space="preserve"> - Energia (R$ / kw / h) =  </t>
    </r>
  </si>
  <si>
    <r>
      <rPr>
        <b/>
        <i/>
        <sz val="10"/>
        <rFont val="Arial"/>
        <family val="2"/>
        <charset val="1"/>
      </rPr>
      <t>Observação</t>
    </r>
    <r>
      <rPr>
        <b/>
        <sz val="10"/>
        <rFont val="Arial"/>
        <family val="2"/>
        <charset val="1"/>
      </rPr>
      <t>:</t>
    </r>
    <r>
      <rPr>
        <sz val="11"/>
        <color rgb="FF000000"/>
        <rFont val="Calibri"/>
        <family val="2"/>
        <charset val="1"/>
      </rPr>
      <t xml:space="preserve"> Cálculos considerados com equipamentos operando nas condições em</t>
    </r>
    <r>
      <rPr>
        <b/>
        <sz val="10"/>
        <rFont val="Arial"/>
        <family val="2"/>
        <charset val="1"/>
      </rPr>
      <t xml:space="preserve"> nível médio</t>
    </r>
    <r>
      <rPr>
        <sz val="11"/>
        <color rgb="FF000000"/>
        <rFont val="Calibri"/>
        <family val="2"/>
        <charset val="1"/>
      </rPr>
      <t>.</t>
    </r>
  </si>
  <si>
    <t xml:space="preserve">Índice decimal para impostos e seguro obrigatório de veículos (I) = </t>
  </si>
  <si>
    <t xml:space="preserve">Taxa de juros ao ano (i) = </t>
  </si>
  <si>
    <t>Código</t>
  </si>
  <si>
    <t>Equipamento</t>
  </si>
  <si>
    <t>Potência (kw)</t>
  </si>
  <si>
    <r>
      <rPr>
        <sz val="11"/>
        <color rgb="FF000000"/>
        <rFont val="Calibri"/>
        <family val="2"/>
        <charset val="1"/>
      </rPr>
      <t xml:space="preserve">Vida útil em anos </t>
    </r>
    <r>
      <rPr>
        <sz val="12"/>
        <rFont val="Arial"/>
        <family val="2"/>
        <charset val="1"/>
      </rPr>
      <t>(</t>
    </r>
    <r>
      <rPr>
        <b/>
        <sz val="12"/>
        <rFont val="Arial"/>
        <family val="2"/>
        <charset val="1"/>
      </rPr>
      <t>n</t>
    </r>
    <r>
      <rPr>
        <sz val="12"/>
        <rFont val="Arial"/>
        <family val="2"/>
        <charset val="1"/>
      </rPr>
      <t>)</t>
    </r>
  </si>
  <si>
    <r>
      <rPr>
        <sz val="11"/>
        <color rgb="FF000000"/>
        <rFont val="Calibri"/>
        <family val="2"/>
        <charset val="1"/>
      </rPr>
      <t xml:space="preserve">Horas / Ano </t>
    </r>
    <r>
      <rPr>
        <sz val="12"/>
        <rFont val="Arial"/>
        <family val="2"/>
        <charset val="1"/>
      </rPr>
      <t>(</t>
    </r>
    <r>
      <rPr>
        <b/>
        <sz val="12"/>
        <rFont val="Arial"/>
        <family val="2"/>
        <charset val="1"/>
      </rPr>
      <t>HTA</t>
    </r>
    <r>
      <rPr>
        <sz val="12"/>
        <rFont val="Arial"/>
        <family val="2"/>
        <charset val="1"/>
      </rPr>
      <t>)</t>
    </r>
  </si>
  <si>
    <r>
      <rPr>
        <sz val="11"/>
        <color rgb="FF000000"/>
        <rFont val="Calibri"/>
        <family val="2"/>
        <charset val="1"/>
      </rPr>
      <t xml:space="preserve">Valor de aquisição  - </t>
    </r>
    <r>
      <rPr>
        <b/>
        <sz val="12"/>
        <rFont val="Arial"/>
        <family val="2"/>
        <charset val="1"/>
      </rPr>
      <t>V</t>
    </r>
    <r>
      <rPr>
        <b/>
        <vertAlign val="subscript"/>
        <sz val="12"/>
        <rFont val="Arial"/>
        <family val="2"/>
        <charset val="1"/>
      </rPr>
      <t>a</t>
    </r>
    <r>
      <rPr>
        <sz val="11"/>
        <color rgb="FF000000"/>
        <rFont val="Calibri"/>
        <family val="2"/>
        <charset val="1"/>
      </rPr>
      <t xml:space="preserve">           (R$)</t>
    </r>
  </si>
  <si>
    <r>
      <rPr>
        <sz val="11"/>
        <color rgb="FF000000"/>
        <rFont val="Calibri"/>
        <family val="2"/>
        <charset val="1"/>
      </rPr>
      <t xml:space="preserve">Valor residual  - </t>
    </r>
    <r>
      <rPr>
        <b/>
        <sz val="12"/>
        <rFont val="Arial"/>
        <family val="2"/>
        <charset val="1"/>
      </rPr>
      <t>V</t>
    </r>
    <r>
      <rPr>
        <b/>
        <vertAlign val="subscript"/>
        <sz val="12"/>
        <rFont val="Arial"/>
        <family val="2"/>
        <charset val="1"/>
      </rPr>
      <t>r</t>
    </r>
    <r>
      <rPr>
        <b/>
        <vertAlign val="subscript"/>
        <sz val="10"/>
        <rFont val="Arial"/>
        <family val="2"/>
        <charset val="1"/>
      </rPr>
      <t xml:space="preserve">         </t>
    </r>
    <r>
      <rPr>
        <sz val="11"/>
        <color rgb="FF000000"/>
        <rFont val="Calibri"/>
        <family val="2"/>
        <charset val="1"/>
      </rPr>
      <t xml:space="preserve"> (%)</t>
    </r>
  </si>
  <si>
    <t>Tipo de Combust.</t>
  </si>
  <si>
    <r>
      <rPr>
        <sz val="11"/>
        <color rgb="FF000000"/>
        <rFont val="Calibri"/>
        <family val="2"/>
        <charset val="1"/>
      </rPr>
      <t xml:space="preserve">Coefic. de manut. </t>
    </r>
    <r>
      <rPr>
        <sz val="12"/>
        <rFont val="Arial"/>
        <family val="2"/>
        <charset val="1"/>
      </rPr>
      <t>(</t>
    </r>
    <r>
      <rPr>
        <b/>
        <sz val="12"/>
        <rFont val="Arial"/>
        <family val="2"/>
        <charset val="1"/>
      </rPr>
      <t>K</t>
    </r>
    <r>
      <rPr>
        <sz val="12"/>
        <rFont val="Arial"/>
        <family val="2"/>
        <charset val="1"/>
      </rPr>
      <t>)</t>
    </r>
  </si>
  <si>
    <t>Operador (R$ / h)</t>
  </si>
  <si>
    <t>Custo de propriedade</t>
  </si>
  <si>
    <r>
      <rPr>
        <sz val="11"/>
        <color rgb="FF000000"/>
        <rFont val="Calibri"/>
        <family val="2"/>
        <charset val="1"/>
      </rPr>
      <t xml:space="preserve">Custo de manut. - </t>
    </r>
    <r>
      <rPr>
        <b/>
        <sz val="12"/>
        <rFont val="Arial"/>
        <family val="2"/>
        <charset val="1"/>
      </rPr>
      <t>M</t>
    </r>
    <r>
      <rPr>
        <b/>
        <vertAlign val="subscript"/>
        <sz val="12"/>
        <rFont val="Arial"/>
        <family val="2"/>
        <charset val="1"/>
      </rPr>
      <t>h</t>
    </r>
    <r>
      <rPr>
        <sz val="11"/>
        <color rgb="FF000000"/>
        <rFont val="Calibri"/>
        <family val="2"/>
        <charset val="1"/>
      </rPr>
      <t xml:space="preserve">   (R$/h)</t>
    </r>
  </si>
  <si>
    <t>Custo de operação</t>
  </si>
  <si>
    <t>Custo operacional</t>
  </si>
  <si>
    <r>
      <rPr>
        <sz val="11"/>
        <color rgb="FF000000"/>
        <rFont val="Calibri"/>
        <family val="2"/>
        <charset val="1"/>
      </rPr>
      <t xml:space="preserve">Deprec. - </t>
    </r>
    <r>
      <rPr>
        <b/>
        <sz val="12"/>
        <rFont val="Arial"/>
        <family val="2"/>
        <charset val="1"/>
      </rPr>
      <t>D</t>
    </r>
    <r>
      <rPr>
        <b/>
        <vertAlign val="subscript"/>
        <sz val="12"/>
        <rFont val="Arial"/>
        <family val="2"/>
        <charset val="1"/>
      </rPr>
      <t>h</t>
    </r>
    <r>
      <rPr>
        <b/>
        <vertAlign val="subscript"/>
        <sz val="10"/>
        <rFont val="Arial"/>
        <family val="2"/>
        <charset val="1"/>
      </rPr>
      <t xml:space="preserve">    </t>
    </r>
    <r>
      <rPr>
        <sz val="11"/>
        <color rgb="FF000000"/>
        <rFont val="Calibri"/>
        <family val="2"/>
        <charset val="1"/>
      </rPr>
      <t xml:space="preserve"> (R$/h)</t>
    </r>
  </si>
  <si>
    <r>
      <rPr>
        <sz val="11"/>
        <color rgb="FF000000"/>
        <rFont val="Calibri"/>
        <family val="2"/>
        <charset val="1"/>
      </rPr>
      <t xml:space="preserve">Oport Cap </t>
    </r>
    <r>
      <rPr>
        <b/>
        <sz val="12"/>
        <rFont val="Arial"/>
        <family val="2"/>
        <charset val="1"/>
      </rPr>
      <t>J</t>
    </r>
    <r>
      <rPr>
        <b/>
        <vertAlign val="subscript"/>
        <sz val="12"/>
        <rFont val="Arial"/>
        <family val="2"/>
        <charset val="1"/>
      </rPr>
      <t>h</t>
    </r>
    <r>
      <rPr>
        <sz val="11"/>
        <color rgb="FF000000"/>
        <rFont val="Calibri"/>
        <family val="2"/>
        <charset val="1"/>
      </rPr>
      <t xml:space="preserve">     (R$/h)</t>
    </r>
  </si>
  <si>
    <r>
      <rPr>
        <sz val="11"/>
        <color rgb="FF000000"/>
        <rFont val="Calibri"/>
        <family val="2"/>
        <charset val="1"/>
      </rPr>
      <t xml:space="preserve">Imp./Seg. </t>
    </r>
    <r>
      <rPr>
        <b/>
        <sz val="12"/>
        <rFont val="Arial"/>
        <family val="2"/>
        <charset val="1"/>
      </rPr>
      <t>I</t>
    </r>
    <r>
      <rPr>
        <b/>
        <vertAlign val="subscript"/>
        <sz val="12"/>
        <rFont val="Arial"/>
        <family val="2"/>
        <charset val="1"/>
      </rPr>
      <t>h</t>
    </r>
    <r>
      <rPr>
        <sz val="11"/>
        <color rgb="FF000000"/>
        <rFont val="Calibri"/>
        <family val="2"/>
        <charset val="1"/>
      </rPr>
      <t xml:space="preserve">     (R$/h)</t>
    </r>
  </si>
  <si>
    <r>
      <rPr>
        <sz val="11"/>
        <color rgb="FF000000"/>
        <rFont val="Calibri"/>
        <family val="2"/>
        <charset val="1"/>
      </rPr>
      <t xml:space="preserve">Material  </t>
    </r>
    <r>
      <rPr>
        <b/>
        <sz val="12"/>
        <rFont val="Arial"/>
        <family val="2"/>
        <charset val="1"/>
      </rPr>
      <t>C</t>
    </r>
    <r>
      <rPr>
        <b/>
        <vertAlign val="subscript"/>
        <sz val="12"/>
        <rFont val="Arial"/>
        <family val="2"/>
        <charset val="1"/>
      </rPr>
      <t>c</t>
    </r>
    <r>
      <rPr>
        <sz val="11"/>
        <color rgb="FF000000"/>
        <rFont val="Calibri"/>
        <family val="2"/>
        <charset val="1"/>
      </rPr>
      <t xml:space="preserve">    (R$/h)</t>
    </r>
  </si>
  <si>
    <r>
      <rPr>
        <sz val="11"/>
        <color rgb="FF000000"/>
        <rFont val="Calibri"/>
        <family val="2"/>
        <charset val="1"/>
      </rPr>
      <t xml:space="preserve">Mão Obra </t>
    </r>
    <r>
      <rPr>
        <b/>
        <sz val="12"/>
        <rFont val="Arial"/>
        <family val="2"/>
        <charset val="1"/>
      </rPr>
      <t>C</t>
    </r>
    <r>
      <rPr>
        <b/>
        <vertAlign val="subscript"/>
        <sz val="12"/>
        <rFont val="Arial"/>
        <family val="2"/>
        <charset val="1"/>
      </rPr>
      <t>mo</t>
    </r>
    <r>
      <rPr>
        <sz val="11"/>
        <color rgb="FF000000"/>
        <rFont val="Calibri"/>
        <family val="2"/>
        <charset val="1"/>
      </rPr>
      <t xml:space="preserve">  (R$/h)</t>
    </r>
  </si>
  <si>
    <r>
      <rPr>
        <sz val="11"/>
        <color rgb="FF000000"/>
        <rFont val="Calibri"/>
        <family val="2"/>
        <charset val="1"/>
      </rPr>
      <t xml:space="preserve">Produtivo   </t>
    </r>
    <r>
      <rPr>
        <b/>
        <sz val="12"/>
        <rFont val="Arial"/>
        <family val="2"/>
        <charset val="1"/>
      </rPr>
      <t>C</t>
    </r>
    <r>
      <rPr>
        <b/>
        <vertAlign val="subscript"/>
        <sz val="12"/>
        <rFont val="Arial"/>
        <family val="2"/>
        <charset val="1"/>
      </rPr>
      <t>hp</t>
    </r>
    <r>
      <rPr>
        <b/>
        <vertAlign val="subscript"/>
        <sz val="10"/>
        <rFont val="Arial"/>
        <family val="2"/>
        <charset val="1"/>
      </rPr>
      <t xml:space="preserve">     </t>
    </r>
    <r>
      <rPr>
        <sz val="11"/>
        <color rgb="FF000000"/>
        <rFont val="Calibri"/>
        <family val="2"/>
        <charset val="1"/>
      </rPr>
      <t xml:space="preserve"> (R$/h)</t>
    </r>
  </si>
  <si>
    <r>
      <rPr>
        <sz val="11"/>
        <color rgb="FF000000"/>
        <rFont val="Calibri"/>
        <family val="2"/>
        <charset val="1"/>
      </rPr>
      <t xml:space="preserve">Improdutivo </t>
    </r>
    <r>
      <rPr>
        <b/>
        <sz val="12"/>
        <rFont val="Arial"/>
        <family val="2"/>
        <charset val="1"/>
      </rPr>
      <t>C</t>
    </r>
    <r>
      <rPr>
        <b/>
        <vertAlign val="subscript"/>
        <sz val="12"/>
        <rFont val="Arial"/>
        <family val="2"/>
        <charset val="1"/>
      </rPr>
      <t>hi</t>
    </r>
    <r>
      <rPr>
        <sz val="11"/>
        <color rgb="FF000000"/>
        <rFont val="Calibri"/>
        <family val="2"/>
        <charset val="1"/>
      </rPr>
      <t xml:space="preserve">      (R$/h)</t>
    </r>
  </si>
  <si>
    <t>D</t>
  </si>
  <si>
    <t>G</t>
  </si>
  <si>
    <r>
      <rPr>
        <b/>
        <i/>
        <sz val="10"/>
        <rFont val="Arial"/>
        <family val="2"/>
        <charset val="1"/>
      </rPr>
      <t>Obs 01</t>
    </r>
    <r>
      <rPr>
        <i/>
        <sz val="10"/>
        <rFont val="Arial"/>
        <family val="2"/>
        <charset val="1"/>
      </rPr>
      <t>: O índice decimal para impostos e seguro obrigatório de veículos varia de acordo com a região, sendo que o DNIT recomenda como valor médio o percentual de 2,50 %.</t>
    </r>
  </si>
  <si>
    <r>
      <rPr>
        <b/>
        <i/>
        <sz val="10"/>
        <rFont val="Arial"/>
        <family val="2"/>
        <charset val="1"/>
      </rPr>
      <t>Obs 02</t>
    </r>
    <r>
      <rPr>
        <i/>
        <sz val="10"/>
        <rFont val="Arial"/>
        <family val="2"/>
        <charset val="1"/>
      </rPr>
      <t>:</t>
    </r>
  </si>
  <si>
    <t>Nos valores de"Custos de Operação" adota-se um coeficiente de 0,18 l/kWh para cálculo do custo horário de combustível, lubrificantes, filtros e graxas, no grupo que envolve os equipamentos movidos a óleo diesel, conforme consta no item 6.3.1 do Manual de Custos de Infraestrutura de Transportes Volume 01/2017 - Metodologia e Conceitos do DNIT.</t>
  </si>
  <si>
    <t>PLANILHA DE CUSTOS DE TRANSPORTES</t>
  </si>
  <si>
    <t>Serviço</t>
  </si>
  <si>
    <t>Utilização</t>
  </si>
  <si>
    <t>Custo Horário Total (R$)</t>
  </si>
  <si>
    <t>Produção da Equipe       (t * km)</t>
  </si>
  <si>
    <t>Custo Unitário de Execução (R$)</t>
  </si>
  <si>
    <t>Interferência de Chuvas</t>
  </si>
  <si>
    <t>Custo Unitário Total       (R$)</t>
  </si>
  <si>
    <t>Custo Unitário Direto Total (R$)</t>
  </si>
  <si>
    <t>Tipo de Rodovia p/ Transporte</t>
  </si>
  <si>
    <t>Discriminação</t>
  </si>
  <si>
    <t>Veículo</t>
  </si>
  <si>
    <t>Quantidade</t>
  </si>
  <si>
    <t>Operativa</t>
  </si>
  <si>
    <t>Improdutiva</t>
  </si>
  <si>
    <r>
      <rPr>
        <sz val="10"/>
        <rFont val="Arial"/>
        <family val="2"/>
      </rPr>
      <t xml:space="preserve">Produtivo   </t>
    </r>
    <r>
      <rPr>
        <b/>
        <sz val="12"/>
        <rFont val="Arial"/>
        <family val="2"/>
      </rPr>
      <t>C</t>
    </r>
    <r>
      <rPr>
        <b/>
        <vertAlign val="subscript"/>
        <sz val="12"/>
        <rFont val="Arial"/>
        <family val="2"/>
      </rPr>
      <t>hp</t>
    </r>
    <r>
      <rPr>
        <b/>
        <vertAlign val="subscript"/>
        <sz val="10"/>
        <rFont val="Arial"/>
        <family val="2"/>
      </rPr>
      <t xml:space="preserve">   </t>
    </r>
    <r>
      <rPr>
        <sz val="10"/>
        <rFont val="Arial"/>
        <family val="2"/>
      </rPr>
      <t>(R$/h)</t>
    </r>
  </si>
  <si>
    <r>
      <rPr>
        <sz val="10"/>
        <rFont val="Arial"/>
        <family val="2"/>
      </rPr>
      <t xml:space="preserve">Improdutivo </t>
    </r>
    <r>
      <rPr>
        <b/>
        <sz val="12"/>
        <rFont val="Arial"/>
        <family val="2"/>
      </rPr>
      <t>C</t>
    </r>
    <r>
      <rPr>
        <b/>
        <vertAlign val="subscript"/>
        <sz val="12"/>
        <rFont val="Arial"/>
        <family val="2"/>
      </rPr>
      <t>hi</t>
    </r>
    <r>
      <rPr>
        <sz val="10"/>
        <rFont val="Arial"/>
        <family val="2"/>
      </rPr>
      <t xml:space="preserve">   (R$/h)</t>
    </r>
  </si>
  <si>
    <t>Fator FIC</t>
  </si>
  <si>
    <t>Custo do FIC (R$)</t>
  </si>
  <si>
    <t>DNIT –</t>
  </si>
  <si>
    <t>Leito Nat.</t>
  </si>
  <si>
    <t>Caminhão carroceria 9 t</t>
  </si>
  <si>
    <t>Transporte com caminhão carroceria de 9 t - rodovia em leito natural</t>
  </si>
  <si>
    <t>Rev. Prim.</t>
  </si>
  <si>
    <t>Transporte com caminhão carroceria de 9 t - rodovia com revestimento primário</t>
  </si>
  <si>
    <t>Paviment.</t>
  </si>
  <si>
    <t>Transporte com caminhão carroceria de 9 t - rodovia pavimentada</t>
  </si>
  <si>
    <t>Caminhão tanque 10.000 l</t>
  </si>
  <si>
    <t>Transporte de água com caminhão tanque de 10.000 l - rodovia em leito natural</t>
  </si>
  <si>
    <t>Transporte de água com caminhão tanque de 10.000 l rodovia - com revestimento primário</t>
  </si>
  <si>
    <t>Transporte de água com caminhão tanque de 10.000 l - rodovia pavimentada</t>
  </si>
  <si>
    <t>Caminhão basculante 10m³</t>
  </si>
  <si>
    <t>Transporte com caminhão basculante de 10 m³ - rodovia em leito natural</t>
  </si>
  <si>
    <t>Transporte com caminhão basculante de 10 m³ - rodovia com revestimento primário</t>
  </si>
  <si>
    <t>Transporte com caminhão basculante de 10 m³ - rodovia pavimentada</t>
  </si>
  <si>
    <t>Cavalo mecânico 30 t</t>
  </si>
  <si>
    <t>Transporte com cavalo mecânico de 30 t - rodovia em leito natural</t>
  </si>
  <si>
    <t>Transporte com cavalo mecânico de 30 t - rodovia com revestimento primário</t>
  </si>
  <si>
    <t>Transporte com cavalo mecânico de 30 t - rodovia pavimentada</t>
  </si>
  <si>
    <t>Caminhão basculante 14m³</t>
  </si>
  <si>
    <t>Transporte com caminhão basculante de 14 m³ - rodovia em leito natural</t>
  </si>
  <si>
    <t>Transporte com caminhão basculante de 14 m³ - rodovia com revestimento primário</t>
  </si>
  <si>
    <t>Transporte com caminhão basculante de 14 m³ - rodovia pavimentada</t>
  </si>
  <si>
    <t>Veículo leve - pick up 4x4</t>
  </si>
  <si>
    <t>Transporte de materiais diversos em veículo leve - pick up 4 x 4 - rodovia em leito natural</t>
  </si>
  <si>
    <t>Transporte de materiais diversos em veículo leve - pick up 4 x 4 - rodovia em revestimento primário</t>
  </si>
  <si>
    <t>Transporte de materiais diversos em veículo leve - pick up 4 x 4 - rodovia pavimentada</t>
  </si>
  <si>
    <t>Caminhão com guindauto 20 t</t>
  </si>
  <si>
    <t>Transporte com caminhão carroceria de com guindauto capacidade 20 t.m - rodovia em leito natural</t>
  </si>
  <si>
    <t>Transporte com caminhão carroceria de com guindauto capacidade 20 t.m - rodovia com revestimento primário</t>
  </si>
  <si>
    <t>Transporte com caminhão carroceria de com guindauto capacidade 20 t.m - rodovia pavimentada</t>
  </si>
  <si>
    <t>Caminhão carroceria 5 t</t>
  </si>
  <si>
    <t>Transporte com caminhão carroceria de 5 t - rodovia em leito natural</t>
  </si>
  <si>
    <t>Transporte com caminhão carroceria de 5 t - rodovia com revestimento primário</t>
  </si>
  <si>
    <t>Transporte com caminhão carroceria de 5 t - rodovia pavimentada</t>
  </si>
  <si>
    <t>Caminhão carroceria 15 t</t>
  </si>
  <si>
    <t>Transporte com caminhão carroceria de 15 t - rodovia em leito natural</t>
  </si>
  <si>
    <t>Transporte com caminhão carroceria de 15 t - rodovia com revestimento primário</t>
  </si>
  <si>
    <t>Transporte com caminhão carroceria de 15 t - rodovia pavimentada</t>
  </si>
  <si>
    <t>CÓDIGO</t>
  </si>
  <si>
    <t>1.1</t>
  </si>
  <si>
    <t xml:space="preserve">   OBRA:</t>
  </si>
  <si>
    <t>COMPOSIÇÃO  DE  PREÇOS  UNITÁRIOS   -    CUSTOS  UNITÁRIOS</t>
  </si>
  <si>
    <t xml:space="preserve"> Serviço:</t>
  </si>
  <si>
    <t>Mobilização e desmobilização de pessoal, máquinas e equipamentos</t>
  </si>
  <si>
    <t xml:space="preserve"> Unid.:</t>
  </si>
  <si>
    <t xml:space="preserve">un </t>
  </si>
  <si>
    <t>Tipo de Trecho</t>
  </si>
  <si>
    <t>Distância à Percorrer</t>
  </si>
  <si>
    <t>Velocidade Média</t>
  </si>
  <si>
    <t>Rodovia Pavimentada</t>
  </si>
  <si>
    <t>km/h</t>
  </si>
  <si>
    <t>Estrada em Revestimento Primário</t>
  </si>
  <si>
    <t>Estrada em Terreno Natural</t>
  </si>
  <si>
    <t xml:space="preserve"> A - Equipamentos</t>
  </si>
  <si>
    <t>Tipo de Transporte</t>
  </si>
  <si>
    <t>Fator de Retorno      (K) *</t>
  </si>
  <si>
    <t>Fator Utilização (FU) **</t>
  </si>
  <si>
    <t>Custo Horário R$</t>
  </si>
  <si>
    <t>Custo de Mobiliz. R$</t>
  </si>
  <si>
    <t>EQUIPAMENTOS DE GRANDE PORTE</t>
  </si>
  <si>
    <r>
      <rPr>
        <b/>
        <sz val="8"/>
        <rFont val="Arial"/>
        <family val="2"/>
      </rPr>
      <t>TIPO DE TRANSPORTE (</t>
    </r>
    <r>
      <rPr>
        <b/>
        <i/>
        <sz val="8"/>
        <color rgb="FFFF0000"/>
        <rFont val="Arial"/>
        <family val="2"/>
      </rPr>
      <t>para preenchimento das colunas: H36 ao H45 e H49 ao H53</t>
    </r>
    <r>
      <rPr>
        <b/>
        <sz val="8"/>
        <rFont val="Arial"/>
        <family val="2"/>
      </rPr>
      <t>)</t>
    </r>
  </si>
  <si>
    <t>-</t>
  </si>
  <si>
    <t>UTILIZAR APENAS OS TIPOS DE TRANSPORTES DE 2 AO 5</t>
  </si>
  <si>
    <t>CAMINHÕES COMUNS E VEÍCULOS LEVES (Equipamentos Rodantes)</t>
  </si>
  <si>
    <t>Autônomo</t>
  </si>
  <si>
    <t xml:space="preserve">Custo de Transporte dos Equipamentos </t>
  </si>
  <si>
    <t xml:space="preserve"> B - Mão de Obra</t>
  </si>
  <si>
    <t>Mão de Obra</t>
  </si>
  <si>
    <t>Custo</t>
  </si>
  <si>
    <t>Custo Total (R$)</t>
  </si>
  <si>
    <t>Unitário</t>
  </si>
  <si>
    <t>Pousada</t>
  </si>
  <si>
    <t>Alimentação</t>
  </si>
  <si>
    <t>Transporte</t>
  </si>
  <si>
    <t>PROFISSIONAIS DE NÍVEL SUPERIOR</t>
  </si>
  <si>
    <t>TÉCNICOS ESPECIALIZADOS</t>
  </si>
  <si>
    <t>OPERADORES DE EQUIPAMENTOS E MOTORISTAS</t>
  </si>
  <si>
    <t>DEMAIS PROFISSIONAIS</t>
  </si>
  <si>
    <t xml:space="preserve">Custo do Transporte de Mão-de-Obra </t>
  </si>
  <si>
    <t>Custo Unitário Direto Total</t>
  </si>
  <si>
    <t>Lucro e despesas Indiretas :</t>
  </si>
  <si>
    <t>Preço Unitário Total</t>
  </si>
  <si>
    <t>Observações:</t>
  </si>
  <si>
    <t>01)</t>
  </si>
  <si>
    <t>Os cálculos seguem as orientações do DNIT/2017, segundo o Manual de Custos de Infraestrutura de Transportes - Volume 09 - Mobilização e Desmobilização.</t>
  </si>
  <si>
    <t>a) Deslocamento dos Equipamentos:</t>
  </si>
  <si>
    <t>1)</t>
  </si>
  <si>
    <r>
      <rPr>
        <sz val="10"/>
        <rFont val="Arial"/>
        <family val="2"/>
      </rPr>
      <t xml:space="preserve">Expressão de cálculo do custo da mobilização dos equipamentos: </t>
    </r>
    <r>
      <rPr>
        <b/>
        <sz val="10"/>
        <rFont val="Arial"/>
        <family val="2"/>
      </rPr>
      <t>CMob = {[ DM</t>
    </r>
    <r>
      <rPr>
        <sz val="10"/>
        <rFont val="Arial"/>
        <family val="2"/>
      </rPr>
      <t xml:space="preserve"> *</t>
    </r>
    <r>
      <rPr>
        <b/>
        <sz val="10"/>
        <rFont val="Arial"/>
        <family val="2"/>
      </rPr>
      <t xml:space="preserve"> K</t>
    </r>
    <r>
      <rPr>
        <sz val="10"/>
        <rFont val="Arial"/>
        <family val="2"/>
      </rPr>
      <t xml:space="preserve"> *</t>
    </r>
    <r>
      <rPr>
        <b/>
        <sz val="10"/>
        <rFont val="Arial"/>
        <family val="2"/>
      </rPr>
      <t xml:space="preserve"> FU</t>
    </r>
    <r>
      <rPr>
        <sz val="10"/>
        <rFont val="Arial"/>
        <family val="2"/>
      </rPr>
      <t xml:space="preserve"> </t>
    </r>
    <r>
      <rPr>
        <b/>
        <sz val="10"/>
        <rFont val="Arial"/>
        <family val="2"/>
      </rPr>
      <t>] / V</t>
    </r>
    <r>
      <rPr>
        <sz val="10"/>
        <rFont val="Arial"/>
        <family val="2"/>
      </rPr>
      <t xml:space="preserve"> </t>
    </r>
    <r>
      <rPr>
        <b/>
        <sz val="10"/>
        <rFont val="Arial"/>
        <family val="2"/>
      </rPr>
      <t>} * CH</t>
    </r>
    <r>
      <rPr>
        <sz val="10"/>
        <rFont val="Arial"/>
        <family val="2"/>
      </rPr>
      <t>, onde: CMob é o custo de mobilização e desmobilização, DM é a distância de mobilização, K é o fator de retorno, FU é o fator de utilização, V é a velocidade média em cada trecho e CH é o custo horário de cada equipamento.</t>
    </r>
  </si>
  <si>
    <t>2)</t>
  </si>
  <si>
    <t>A distância de mobilização a ser considerada deve ser a da unidade da federação mais próxima, em condições de fornecer a mão de obra e os equipamentos para atender as atividades a serem desenvolvidas, até o local da obra. A distância mínima de mobilização e de desmobilização será de 50 km;</t>
  </si>
  <si>
    <t>O deslocamento dos equipamentos poderá ser realizado por rodovias pavimentadas e estradas em revestimento primário ou em terreno natural, utilizando, sempre que possível e viável, os caminhões como primeira alternativa de transporte ou o cavalo mecânico com reboque como segunda alternativa;</t>
  </si>
  <si>
    <t>4)</t>
  </si>
  <si>
    <r>
      <rPr>
        <b/>
        <sz val="10"/>
        <rFont val="Arial"/>
        <family val="2"/>
      </rPr>
      <t>*</t>
    </r>
    <r>
      <rPr>
        <sz val="10"/>
        <rFont val="Arial"/>
        <family val="2"/>
      </rPr>
      <t xml:space="preserve"> O Fator de Retorno (K) será igual a 1 quando o veículo não retornar e 2 quando o veículo transportador retornar ao local de origem;</t>
    </r>
  </si>
  <si>
    <t>5)</t>
  </si>
  <si>
    <t>** O Fator de Utilização (FU) de cada equipamento estão conforme a Tabela 02 do manual a que se faz referência na observação 01;</t>
  </si>
  <si>
    <t>6)</t>
  </si>
  <si>
    <t>As ferramentas e os equipamentos leves ou de pequeno porte, cujo peso individual e formato permitem que sejam transportados, embarcados ou rebocados, serão transportados em veículos transportadores autônomos da frota mobilizada (que podem se deslocar pelos próprios meios);</t>
  </si>
  <si>
    <t>b) Deslocamento de Pessoal:</t>
  </si>
  <si>
    <t>O efetivo de mão de obra alojado será estabelecido em função da natureza dos serviços e da disponibilidade local de mão de obra. No caso de impossibilidade de comprovação, deve ser adotado o percentual de 50% do efetivo para a condição alojada, em obras rodoviárias;</t>
  </si>
  <si>
    <t>Nos deslocamentos, a cada quatro horas de percurso, será considerada meia hora adicional de descanso remunerado para motoristas e ajudantes.</t>
  </si>
  <si>
    <t>Abrigo provisório de madeira executado na obra para alojamento e depósito de materiais e ferramentas</t>
  </si>
  <si>
    <t>m²</t>
  </si>
  <si>
    <t>Custo Operacional</t>
  </si>
  <si>
    <t xml:space="preserve">Custo </t>
  </si>
  <si>
    <t>Operat.</t>
  </si>
  <si>
    <t>Improd.</t>
  </si>
  <si>
    <t>Horário</t>
  </si>
  <si>
    <t>Custo Horário de Equipamentos</t>
  </si>
  <si>
    <t>Salário / Hora</t>
  </si>
  <si>
    <t>Custo Horário de Mão-de-Obra</t>
  </si>
  <si>
    <t xml:space="preserve">Custo Horário Total de Execução </t>
  </si>
  <si>
    <t xml:space="preserve"> C - Produção da Equipe</t>
  </si>
  <si>
    <t xml:space="preserve">Custo Unitário de Execução </t>
  </si>
  <si>
    <t>Fator de Influência de Chuvas - FIC</t>
  </si>
  <si>
    <t xml:space="preserve">Custo do FIC </t>
  </si>
  <si>
    <t>Fator de Interferência do Tráfego - FIT</t>
  </si>
  <si>
    <t xml:space="preserve">Custo do FIT </t>
  </si>
  <si>
    <t xml:space="preserve"> D - Custo Unitário de Execução</t>
  </si>
  <si>
    <t>Custo Unitário de Execução</t>
  </si>
  <si>
    <t xml:space="preserve"> E - Materiais e Atividades Auxiliares</t>
  </si>
  <si>
    <t>Preço</t>
  </si>
  <si>
    <t>Custo Total de Materiais</t>
  </si>
  <si>
    <t xml:space="preserve"> F - Transportes de Materiais</t>
  </si>
  <si>
    <t>Quantidade ( t )</t>
  </si>
  <si>
    <t>Rodovia para transporte</t>
  </si>
  <si>
    <t>Custo Unitário</t>
  </si>
  <si>
    <t>DMT (km)</t>
  </si>
  <si>
    <t>Cód. Transp</t>
  </si>
  <si>
    <t>Custo Unit.</t>
  </si>
  <si>
    <t>Custo Total de Transportes de Materiais</t>
  </si>
  <si>
    <t>Custo Unitário Direto Total (mensal)</t>
  </si>
  <si>
    <t xml:space="preserve">Preço Unitário Total (mensal) </t>
  </si>
  <si>
    <t>Na elaboração da presente composição foi adotado como base os índices da composição analítica da TCPO (Tabelas de Composições de Preços para Orçamentos / TCPO 13ª edição - 2010 - CÓDIGO 01520.8.1.1), com adaptações;</t>
  </si>
  <si>
    <t>Considerado mão-de-obra e material para execução do abrigo, sendo o piso em concreto simples, virado em obra com betoneira. Fechamentos, janelas e portas em chapa conpensada, telhado com telhas de fibrocimento sendo suportadas por estrutura de madeira.</t>
  </si>
  <si>
    <t>Para os insumos foram adotados os preços unitários dos insumos da tabela DNIT/SICRO e para os itens não existentes na referida tabela, de maneira suplementar os custos unitários dos insumos do SINAPI.</t>
  </si>
  <si>
    <t>Características executivas do abrigo provisório: a) Solo nivelado com uma camada de 7 cm de concreto desempenado. b) Pontaletes cravados a cada 1,22 m, e enterrados 60 cm no solo. c) Paredes travadas com tábuas pregadas horizontalmente e fechamento com chapas compensadas fixadas nos pontaletes. d) Estrutura do telhado em madeira com beiral de 50 cm.</t>
  </si>
  <si>
    <t>Instalações de campo e alojamento.</t>
  </si>
  <si>
    <t>mês</t>
  </si>
  <si>
    <t>Na elaboração da presente composição foram adotados os custos e taxas constantes na Tabela de Preços de Consultoria do DNIT.</t>
  </si>
  <si>
    <t>2.1</t>
  </si>
  <si>
    <t>Elaboração de estudos ambientais simplificados para complementação das estradas vicinais e uso de jazidas de materiais lateríticos e do Plano de Recuperação de Área Degradada - PRAD, objetivando a exploração de jazidas e sua posterior recuperação ambiental, elaborados por profissionais devidamente habilitados, com ART e apresentação do licenciamento ambiental necessário, expedido pelo órgão competente (Verificar a recomendação na observação e os índices das taxas dessa composição)</t>
  </si>
  <si>
    <t>10% ( Item B )</t>
  </si>
  <si>
    <t>Instrumental de equipamentos de informática e material de expediente (Microcomputador / Plotter / Câmera fotográfica digital / Papel)</t>
  </si>
  <si>
    <t>Salário /Mês</t>
  </si>
  <si>
    <t>(01 - Eng° Florestal ou Agrônomo - Resp. Técnico)</t>
  </si>
  <si>
    <t>(01 - Coordenador Ambiental)</t>
  </si>
  <si>
    <t>(01 - Geólogo)</t>
  </si>
  <si>
    <t>(01 - Topógrafo)</t>
  </si>
  <si>
    <t>(01 - Cadista)</t>
  </si>
  <si>
    <t xml:space="preserve"> F - Taxas </t>
  </si>
  <si>
    <t>Índice</t>
  </si>
  <si>
    <t>Observações</t>
  </si>
  <si>
    <t>Base de</t>
  </si>
  <si>
    <t>Taxa</t>
  </si>
  <si>
    <t>Cálculo</t>
  </si>
  <si>
    <t>AA1 - ENCARGOS SOCIAIS (MENSALISTA)</t>
  </si>
  <si>
    <t>(Incide sobre o item pessoal)</t>
  </si>
  <si>
    <t>AA2 - ENCARGOS SOCIAIS (CONSULTOR ESPECIAL - PJ)</t>
  </si>
  <si>
    <t>BB - CUSTO ADMINISTRATIVO</t>
  </si>
  <si>
    <t>CC - REMUNERAÇÃO DA EMPRESA</t>
  </si>
  <si>
    <t>(Incide s/ todos os itens + AA+BB)</t>
  </si>
  <si>
    <t>DD - DESPESAS FISCAIS/PIS/ISS/COFINS (SEM CSLL)</t>
  </si>
  <si>
    <t>(Incide s/ todos itens + AA+BB+CC)</t>
  </si>
  <si>
    <t>Valor total das taxas</t>
  </si>
  <si>
    <t>Preço Unitário Direto Total</t>
  </si>
  <si>
    <t>Fator de Conversão</t>
  </si>
  <si>
    <r>
      <rPr>
        <b/>
        <sz val="8"/>
        <rFont val="Arial"/>
        <family val="2"/>
      </rPr>
      <t xml:space="preserve">Recomenda-se a aplicação de coeficientes de redução do preço unitário por quilômetro, com o </t>
    </r>
    <r>
      <rPr>
        <b/>
        <u/>
        <sz val="8"/>
        <rFont val="Arial"/>
        <family val="2"/>
      </rPr>
      <t>preenchimento</t>
    </r>
    <r>
      <rPr>
        <b/>
        <sz val="8"/>
        <rFont val="Arial"/>
        <family val="2"/>
      </rPr>
      <t xml:space="preserve"> da célula "Fator de Conversão", indicando o percentual que será aplicado à soma total da composição, de acordo com as faixas discriminadas a seguir: 0,00 a 10,00 km (100 %), 10,00 a 25,00 km (80 %), 25,00 a 50,00 km (60 %) e acima de 50,00 km (40 %)</t>
    </r>
  </si>
  <si>
    <t>Na elaboração da presente composição, os índices adotados foram com base na experiência acumulada pelos técnico do Incra na execução de serviços correlatos ao longo dos anos;</t>
  </si>
  <si>
    <t>Para os insumos foram adotados os preços unitários dos insumos da tabela DNIT/Preço de Consultoria.</t>
  </si>
  <si>
    <t>Os valores referenciais para veículos envolvem aluguel e combustível.</t>
  </si>
  <si>
    <t>2.2</t>
  </si>
  <si>
    <r>
      <rPr>
        <b/>
        <sz val="8"/>
        <rFont val="Arial"/>
        <family val="2"/>
      </rPr>
      <t xml:space="preserve">Elaboração de projeto de estradas vicinais (contemplando serviços de locação e levantamento do eixo da estrada, nivelamento do terreno natural, lançamento da linha de greide, perfil longitudinal, seções transversais, expedição de notas de serviços, locação de jazidas, cálculo de DMTs, drenagem, dimensionamento e locação das obras de arte corrente e serviços complementares, de modo a atender integralmente o disposto na Norma de Execução / Incra / DD / Nº 117, de 13 de setembro de 2017, em especial, ao seu Art. 13º) - </t>
    </r>
    <r>
      <rPr>
        <b/>
        <i/>
        <sz val="8"/>
        <rFont val="Arial"/>
        <family val="2"/>
      </rPr>
      <t>Verificar a informação solicitada e os índices das taxas dessa composição</t>
    </r>
  </si>
  <si>
    <t xml:space="preserve"> A - Equipamentos e Materiais de Expediente</t>
  </si>
  <si>
    <t>Instrumental de equipamentos e de informática e material de expediente (Microcomputador / Plotter - Tinta / Papel)</t>
  </si>
  <si>
    <t>Salário / Mensal</t>
  </si>
  <si>
    <t>Projeto simplificado de serv. preliminares, terraplenagem e revestimento primário</t>
  </si>
  <si>
    <t>(01 - Coordenador)</t>
  </si>
  <si>
    <t>Estudo e projeto de drenagem</t>
  </si>
  <si>
    <t>(01 - Cadista / Calculista)</t>
  </si>
  <si>
    <t>F - Materiais e Atividades Auxiliares</t>
  </si>
  <si>
    <t>Aux 015</t>
  </si>
  <si>
    <t xml:space="preserve">Trata-se de equipe da mesma empresa? </t>
  </si>
  <si>
    <t>Preço Total de Materiais e Atividades Auxiliares</t>
  </si>
  <si>
    <t xml:space="preserve"> G - Taxas </t>
  </si>
  <si>
    <t>1) Na elaboração da presente composição foi adotada como base a metodologia da AETESP (Associação das empresas de Topografia do Estado de São Paulo), que consta no documento Composição de Preços Unitários Referenciais de Topografia de Acordo com a NBR 13.133 (Produtividade da equipe: 900,00 m / dia considerando 17 dias efetivamente trabalhados em um mês) / com adaptações técnicas do Incra, fundamentado na experiência acumulada pelos técnico da Autarquia na execução de serviços correlatos ao longo dos anos;</t>
  </si>
  <si>
    <t>2) Para o cálculo das taxas e tributos foi utilizada a Tabela de Preços de Consultoria do DNIT (Of. N. 5353/2011 - TCU/SECOB-1)</t>
  </si>
  <si>
    <t>3) Para os insumos foram adotados os preços unitários dos insumos da Tabela de Preços de Consultoria do DNIT (Instrução de Serviço DG n° 03, de 07 de março de 2012)</t>
  </si>
  <si>
    <t>3.1</t>
  </si>
  <si>
    <t>Administração Local</t>
  </si>
  <si>
    <t>Salário / Mês</t>
  </si>
  <si>
    <t xml:space="preserve">Preço Unitário Total (R$/mês x prazo da obra) </t>
  </si>
  <si>
    <t>4.1</t>
  </si>
  <si>
    <t>Desmatamento e limpeza mecanizada de terreno com remoção de camada vegetal, utilizando trator esteiras</t>
  </si>
  <si>
    <t>1) Na elaboração da presente composição foi adotada como base a metodologia do SINAPI / CÓDIGO - 73859/001 - Data base: 02/2018, com adaptações à nova metodologia adotada pelo DNIT.</t>
  </si>
  <si>
    <t>2) Para os insumos foram adotados os preços unitários dos insumos da tabela DNIT/SICRO.</t>
  </si>
  <si>
    <t>4.2</t>
  </si>
  <si>
    <t>Desmatamento,  destocamento e limpeza em áreas com árvores de diâmetro até 0,15 m</t>
  </si>
  <si>
    <t>1) Na elaboração da presente composição foi adotada como base a metodologia da Agência Goiana de Transportes e Obras (AGETOP) / CÓDIGO - 40001 - Data base: 01/04/2017, com adaptações à nova metodologia adotada pelo DNIT.</t>
  </si>
  <si>
    <t>5.1</t>
  </si>
  <si>
    <t>Escavação, carga e transporte de material  de 1ª categoria (DMT ≤ 50 m), inclusive seção padrão</t>
  </si>
  <si>
    <t>m³</t>
  </si>
  <si>
    <t>(=286,85 * 0,60)</t>
  </si>
  <si>
    <t>1) Na elaboração da presente composição fez-se a intercalação entre as metodologias do DNIT/SICRO (Sistema de Custos Rodoviários - Custo Unitário de Referência) / CÓDIGO - 5501710, com adaptações</t>
  </si>
  <si>
    <t>3) Em vista do porte das obras executadas pelo Incra e como forma de melhor adequação aos equipamentos utilizados, optou-se pela substituição do trator esteiras D8 pelo D6, com a correlação entre suas potências (112/259 = 0,4324), capacidades de lâminas (4,28/8,70 = 0,4920) e velocidades de deslocamentos (1,5 D6 / 1 D8), considerando-se o coeficiente médio de 0,60 D8 = D6</t>
  </si>
  <si>
    <t>Escavação, carga e transporte de material de 1ª categoria - DMT de 200 a 400 m - caminho de serviço em leito natural - com escavadeira e caminhão basculante de 14 m³</t>
  </si>
  <si>
    <t>1) Na elaboração da presente composição foi adotada como base a metodologia do DNIT/SICRO (Sistema de Custos Rodoviários - Custo Unitário de Referência) / CÓDIGO - 5502110, com adaptações.</t>
  </si>
  <si>
    <t>Compactação de aterros a 95 % do proctor normal (inclusos o espalhamento e a conformação da plataforma)</t>
  </si>
  <si>
    <t>1) Na elaboração da presente composição foi adotada como base a metodologia da Agência Goiana de Transportes e Obras (AGETOP) / CÓDIGO - 45180 - Data base: 01/04/2017, com adaptações à nova metodologia adotada pelo DNIT.</t>
  </si>
  <si>
    <t>Reconformação da plataforma</t>
  </si>
  <si>
    <t xml:space="preserve">ha </t>
  </si>
  <si>
    <t>1) Na elaboração da presente composição foi adotada como base a metodologia do DNIT/SICRO (Sistema de Custos Rodoviários - Custo Unitário de Referência) / CÓDIGO - 4915598.</t>
  </si>
  <si>
    <t>Valetas e saídas laterais d´agua (bigodes - executadas com motoniveladora)</t>
  </si>
  <si>
    <t>1) Na elaboração da presente composição foi adotado como base os índices da composição analítica do SINAPI - CÓDIGO 74150/001; Data Base: 01/02/2010 - Localidade: Cuiabá, com adaptações para a nova metodologia do DNIT.</t>
  </si>
  <si>
    <t>Expurgo de jazida - Limpeza e decapeamento</t>
  </si>
  <si>
    <t>1) Na elaboração da presente composição foi adotada como base a metodologia do DNIT/SICRO (Sistema de Custos Rodoviários - Custo Unitário de Referência) / CÓDIGO - 5502986.</t>
  </si>
  <si>
    <t>Caixas de retenção nas laterais da estrada para acúmulo de águas pluviais  (bacias de acumulação - micro bacias)</t>
  </si>
  <si>
    <t>1) Na elaboração da presente composição foi adotada como base a metodologia do DNIT/SICRO (Sistema de Custos Rodoviários - Custo Unitário de Referência) / CÓDIGO - 4805757.</t>
  </si>
  <si>
    <t>2) Para os insumos foram adotados os preços unitários dos insumos da tabela  DNIT/SICRO.</t>
  </si>
  <si>
    <t>Lombadas em aterro compactado para redução de velocidade das águas pluviais</t>
  </si>
  <si>
    <t>1) Na elaboração da presente composição foi adotada como base a metodologia da Agência Goiana de Transportes e Obras (AGETOP) / CÓDIGO - 45180 - Data base: 01/04/2017, e DNIT CÓDIGO - 5501710, com adaptações à nova metodologia adotada pelo DNIT.</t>
  </si>
  <si>
    <t>Corpo de bueiro BSTC ø = 0,60 m, PA-1, com berço em concreto ciclópico</t>
  </si>
  <si>
    <t>Caminhão com guindalto 30 t.m.</t>
  </si>
  <si>
    <t>1) Na elaboração da presente composição foi adotada como base a metodologia do DNIT/SICRO (Sistema de Custos Rodoviários - Custo Unitário de Referência) / CÓDIGO - 0804021, com adaptações.</t>
  </si>
  <si>
    <t>2) Para os insumos foram adotados os preços unitários dos insumos da tabela DNIT/SICRO e as referidas composições do INCRA apresentadas.</t>
  </si>
  <si>
    <t>Corpo de bueiro BSTC ø = 1,00 m, PA-1, com berço em concreto ciclópico</t>
  </si>
  <si>
    <t>1) Na elaboração da presente composição foi adotada como base a metodologia do DNIT/SICRO (Sistema de Custos Rodoviários - Custo Unitário de Referência) / CÓDIGO - 0804037, com adaptações.</t>
  </si>
  <si>
    <t>Corpo de bueiro BDTC ø = 1,00 m, PA-1, com berço em concreto ciclópico</t>
  </si>
  <si>
    <t>1) Na elaboração da presente composição foi adotada como base a metodologia do DNIT/SICRO (Sistema de Custos Rodoviários - Custo Unitário de Referência) / CÓDIGO - 0804189, com adaptações.</t>
  </si>
  <si>
    <t>Boca de BSTC ø = 0,60 m, em concreto ciclópico, alas retas - esconsidade 0°</t>
  </si>
  <si>
    <t>1) Na elaboração da presente composição foi adotada como base a metodologia do DNIT/SICRO (Sistema de Custos Rodoviários - Custo Unitário de Referência) / CÓDIGO - 0804081, com adaptações.</t>
  </si>
  <si>
    <t>INCRA C</t>
  </si>
  <si>
    <t>Boca de BSTC ø = 1,00 m, em concreto ciclópico, alas retas - esconsidade 0°</t>
  </si>
  <si>
    <t>1) Na elaboração da presente composição foi adotada como base a metodologia do DNIT/SICRO (Sistema de Custos Rodoviários - Custo Unitário de Referência) / CÓDIGO - 0804120, com adaptações.</t>
  </si>
  <si>
    <t>Boca de BDTC ø = 1,00 m, em concreto ciclópico, alas retas - esconsidade 0°</t>
  </si>
  <si>
    <t>1) Na elaboração da presente composição foi adotada como base a metodologia do DNIT/SICRO (Sistema de Custos Rodoviários - Custo Unitário de Referência) / CÓDIGO - 0804233, com adaptações.</t>
  </si>
  <si>
    <t>Escavação e carga de material de jazida com escavadeira hidráulica</t>
  </si>
  <si>
    <t>1) Na elaboração da presente composição foi adotada como base a metodologia do DNIT/SICRO (Sistema de Custos Rodoviários - Custo Unitário de Referência) / CÓDIGO - 4816096.</t>
  </si>
  <si>
    <t>t x km</t>
  </si>
  <si>
    <t>1) Na elaboração da presente composição foi adotada como base a metodologia do DNIT/SICRO (Sistema de Custos Rodoviários - Custo Unitário de Referência) / CÓDIGO - 5914359.</t>
  </si>
  <si>
    <t>Compactação de material de revestimento a 95 % do proctor normal (inclusos o espalhamento e a conformação da plataforma)</t>
  </si>
  <si>
    <t>1) Na elaboração da presente composição foi adotada como base a metodologia da Agência Goiana de Transportes e Obras (AGETOP) / CÓDIGO - 40100 - Data base: 01/04/2017, com adaptações à nova metodologia adotada pelo DNIT.</t>
  </si>
  <si>
    <t>Prenchimento da jazida com material orgânico proveniente do seu decapeamento</t>
  </si>
  <si>
    <t>1) Na elaboração da presente composição fez-se a intercalação entre as metodologias do DNIT/SICRO (Sistema de Custos Rodoviários - Custo Unitário de Referência) / CÓDIGO - 4915613, com adaptações.</t>
  </si>
  <si>
    <t>Semeadura manual (pó calcário, adubos NPK, orgânico, potássio, fósforo enxofre e sementes)</t>
  </si>
  <si>
    <t>Caminhão Carroceria 9 t</t>
  </si>
  <si>
    <t>Caminhão Carroceria 15 t</t>
  </si>
  <si>
    <t>Caminhão Carroceria 4 t</t>
  </si>
  <si>
    <t>1) Na elaboração da presente composição foi adotada como base a metodologia do DNIT/SICRO (Sistema de Custos Rodoviários - Custo Unitário de Referência) / CÓDIGO - 4413905, com adaptações para o processo manual.</t>
  </si>
  <si>
    <t>PROJETO BÁSICO DE ENGENHARIA</t>
  </si>
  <si>
    <t>Caminhão carroceria com capacidade de 9 t - 136 kW (Atego 1419 - Mercedes-Benz)</t>
  </si>
  <si>
    <t>E9508</t>
  </si>
  <si>
    <t>Caminhão tanque com capacidade de 10.000 l - 188 kW (Atego 2426 - Mercedes-Benz)</t>
  </si>
  <si>
    <t>E9571</t>
  </si>
  <si>
    <t>Caminhão basculante com capacidade de 10 m³ - 188 kW (Atron 2729  - Mercedes-Benz)</t>
  </si>
  <si>
    <t>E9579</t>
  </si>
  <si>
    <t>Cavalo mecânico com semi-reboque e capacidade de 30 t - 240 kW (Axor 2041 - Mercedes-Benz / Randon)</t>
  </si>
  <si>
    <t>E9666</t>
  </si>
  <si>
    <t>Caminhão basculante com capacidade de 14 m³ - 323 kW</t>
  </si>
  <si>
    <t>E9667</t>
  </si>
  <si>
    <t>Veículo leve Pick Up 4 x 4 - 147 kW (S10 - Chevrolet 4 x 4 - Cabine Dupla)</t>
  </si>
  <si>
    <t>E9684</t>
  </si>
  <si>
    <t>Caminhão carroceria com guindauto com capacidade de 20 t.m - 136 kW</t>
  </si>
  <si>
    <t>E9686</t>
  </si>
  <si>
    <t>Caminhão carroceria com capacidade de 5 t - 115 Kw (Accelo 815 - Mercedes-Benz</t>
  </si>
  <si>
    <t>E9687</t>
  </si>
  <si>
    <t>Caminhão carroceria com capacidade de 15 t - 188 kW (Atego 2426 - Mercedes-Benz)</t>
  </si>
  <si>
    <t>E9592</t>
  </si>
  <si>
    <t>Construção / Recuperação e complementação de estradas vicinais</t>
  </si>
  <si>
    <t>E9502</t>
  </si>
  <si>
    <t>Bate-estaca de gravidade para 3,5 a 4,0 t - 119 Kw</t>
  </si>
  <si>
    <t>E9511</t>
  </si>
  <si>
    <t>Carregadeira de pneus com capacidade de 3,30 m³ - 213 kW (950H - Caterpillar)</t>
  </si>
  <si>
    <t>E9515</t>
  </si>
  <si>
    <t>Escavadeira hidráulica sobre esteira com caçamba com capacidade de 1,50 m³ - 110 kW (323 DL-Caterpillar)</t>
  </si>
  <si>
    <t>E9518</t>
  </si>
  <si>
    <t>Grade de 24 discos rebocável de 24" (GAM 24 x 24" - Marchesan)</t>
  </si>
  <si>
    <t>E9524</t>
  </si>
  <si>
    <t>Motoniveladora - 93 kW (120K - Caterpillar)</t>
  </si>
  <si>
    <t>E9526</t>
  </si>
  <si>
    <t>Retroescavadeira de pneus - 58 kW (416E - Caterpillar)</t>
  </si>
  <si>
    <t>E9530</t>
  </si>
  <si>
    <t>Rolo compactador liso autopropelido vibratório de 11 t - 97 kW</t>
  </si>
  <si>
    <t>E9537</t>
  </si>
  <si>
    <t>Carregadeira de pneus com capacidade de 1,72 m³ - 113 kW (W20E - Case Construction)</t>
  </si>
  <si>
    <t>E9540</t>
  </si>
  <si>
    <t>Trator de esteiras com lâmina - 112 kW (D6N - Caterpillar)</t>
  </si>
  <si>
    <t>E9541</t>
  </si>
  <si>
    <t>Trator de esteiras com lâmina - 259 kW (D8T - Caterpillar)</t>
  </si>
  <si>
    <t>E9574</t>
  </si>
  <si>
    <t>Perfuratriz sobre esteiras - 145 kW (Power Roc T35 - Atlas Copco)</t>
  </si>
  <si>
    <t>E9577</t>
  </si>
  <si>
    <t>Trator agrícola - 77 kW (MF 4292 - Massey Ferguson)</t>
  </si>
  <si>
    <t>E9685</t>
  </si>
  <si>
    <t>Rolo compactador pé de carneiro vibratório autopropelido de 11,6 t - 82 kW (CA 250 D - Dynapac)</t>
  </si>
  <si>
    <t>E9076</t>
  </si>
  <si>
    <t>Equipamento de pintura com cabine de 7,00 kW e estufa de 80.000 kCal para pintura eletrostática</t>
  </si>
  <si>
    <t>E9531</t>
  </si>
  <si>
    <t>Equipamento de sondagem a percussão com motobomba - 2,5 kW</t>
  </si>
  <si>
    <t>E9533</t>
  </si>
  <si>
    <t>Sonda rotativa com motor, bombas, mastro e cabeçote - 20 kW</t>
  </si>
  <si>
    <t>NS - P1</t>
  </si>
  <si>
    <t>Engenheiro / Profissional Sênior</t>
  </si>
  <si>
    <t>NS - P2</t>
  </si>
  <si>
    <t>Engenheiro / Profissional Pleno</t>
  </si>
  <si>
    <t>NS - P3</t>
  </si>
  <si>
    <t>Engenheiro / Profissional Júnior</t>
  </si>
  <si>
    <t>NT - T2</t>
  </si>
  <si>
    <t>Técnico Pleno (Topógrafo / Desenhista Projetista)</t>
  </si>
  <si>
    <t>NT - T4</t>
  </si>
  <si>
    <t>Técnico Auxiliar</t>
  </si>
  <si>
    <t>P9843</t>
  </si>
  <si>
    <t>Operador de equipamento leve</t>
  </si>
  <si>
    <t>P9845</t>
  </si>
  <si>
    <t>Operador de equipamento pesado</t>
  </si>
  <si>
    <t>P9846</t>
  </si>
  <si>
    <t>Operador de equipamento especial</t>
  </si>
  <si>
    <t>P9801</t>
  </si>
  <si>
    <t>Ajudante</t>
  </si>
  <si>
    <t>P9804</t>
  </si>
  <si>
    <t>Apontador</t>
  </si>
  <si>
    <t>P9805</t>
  </si>
  <si>
    <t>Armador</t>
  </si>
  <si>
    <t>P9806</t>
  </si>
  <si>
    <t>Auxiliar administrativo - (Almoxarife)</t>
  </si>
  <si>
    <t>P9808</t>
  </si>
  <si>
    <t>Carpinteiro</t>
  </si>
  <si>
    <t>P9821</t>
  </si>
  <si>
    <t>Pedreiro</t>
  </si>
  <si>
    <t>P9822</t>
  </si>
  <si>
    <t>Pintor</t>
  </si>
  <si>
    <t>P9823</t>
  </si>
  <si>
    <t>Serralheiro</t>
  </si>
  <si>
    <t>P9824</t>
  </si>
  <si>
    <t>Servente</t>
  </si>
  <si>
    <t>P9825</t>
  </si>
  <si>
    <t>Soldador</t>
  </si>
  <si>
    <t>P9830</t>
  </si>
  <si>
    <t>Montador</t>
  </si>
  <si>
    <t>P9852</t>
  </si>
  <si>
    <t>Blaster</t>
  </si>
  <si>
    <t>E9519</t>
  </si>
  <si>
    <t>Betoneira com motor a gasolina e capacidade de 600 l - 10 kW (Menegotti)</t>
  </si>
  <si>
    <t>M0082</t>
  </si>
  <si>
    <t>Areia média lavada</t>
  </si>
  <si>
    <t>M0191</t>
  </si>
  <si>
    <t>Brita 1</t>
  </si>
  <si>
    <t>M0424</t>
  </si>
  <si>
    <t>Cimento Portland CP II - 32</t>
  </si>
  <si>
    <t>kg</t>
  </si>
  <si>
    <t>M0442</t>
  </si>
  <si>
    <t>Compensado plastificado de 10 mm</t>
  </si>
  <si>
    <t>SINAPI –</t>
  </si>
  <si>
    <t>00020247</t>
  </si>
  <si>
    <t>Prego de aço polido com cabeça 15 x 15 (1.1/4" x 13")</t>
  </si>
  <si>
    <t>00005061</t>
  </si>
  <si>
    <t>Prego de aço polido com cabeça 18 x 27 (2.1/2" x 10")</t>
  </si>
  <si>
    <t>00004491</t>
  </si>
  <si>
    <t>Peça de madeira nativa / regional *7,5 x 7,5* cm (3x3") não aparelhada (p/ forma)</t>
  </si>
  <si>
    <t>M0289</t>
  </si>
  <si>
    <t>Tábua de 2,5 x 15 cm</t>
  </si>
  <si>
    <t>00004425</t>
  </si>
  <si>
    <t>Viga de madeira não aparelhada 6 x 12 cm, maçaranduba, angelim ou equivalente da região</t>
  </si>
  <si>
    <t>00007213</t>
  </si>
  <si>
    <t>Telha de fibrocimento ondulada, E = 4 mm, de 2,44 x 0,50 m (sem amianto)</t>
  </si>
  <si>
    <t>00039640</t>
  </si>
  <si>
    <t>Cumeeira articulada (aba inferior) para telha ondulada de fibrocimento, E = 4 mm, aba *330* mm, comprimento 500 mm(sem amianto)</t>
  </si>
  <si>
    <t>Imóveis</t>
  </si>
  <si>
    <t>Imóveis / Alojamento para pessoal</t>
  </si>
  <si>
    <t>Tabela de Preços de Consultoria do DNIT - Instrução de Serviço nº 03, 07/03/2012 (última atualização: 11/07/2019)</t>
  </si>
  <si>
    <t>Veículos</t>
  </si>
  <si>
    <t>Caminhonete -  140 a 165 cv</t>
  </si>
  <si>
    <t>INCRA A 016</t>
  </si>
  <si>
    <t>Levantamento topográfico planialtimétrico cadastral, com locação e levantamento do eixo da estrada (nivelamento do terreno natural), lançamento da linha de greide, locação das obras de arte, seções transversais e perfil longitudinal, locação de jazidas</t>
  </si>
  <si>
    <t>P9875</t>
  </si>
  <si>
    <t>Encarregado de turma</t>
  </si>
  <si>
    <t>Sedan - 71 a 115 cv</t>
  </si>
  <si>
    <t>Caminhonete -  71 a 115 CV</t>
  </si>
  <si>
    <t>INCRA C 5.15</t>
  </si>
  <si>
    <t>Escavação mecânica de vala em material de 1ª categoria</t>
  </si>
  <si>
    <t>INCRA C 5.1</t>
  </si>
  <si>
    <t>INCRA C 5.13</t>
  </si>
  <si>
    <t>M2167</t>
  </si>
  <si>
    <t>Tubo de concreto armado PA 1 - D = 0,60 m</t>
  </si>
  <si>
    <t>INCRA A 004</t>
  </si>
  <si>
    <t>Formas de tábuas de pinho - utilização de 3 vezes - fornecimento, instalação e retirada</t>
  </si>
  <si>
    <t>INCRA A 006</t>
  </si>
  <si>
    <t>Argamassa de cimento e areia 1:4 - areia comercial</t>
  </si>
  <si>
    <t>INCRA A 010</t>
  </si>
  <si>
    <t>Concreto ciclópico fck = 20 MPa - confecção em betoneira e lançamento manual - areia, brita e pedra de mão comerciais</t>
  </si>
  <si>
    <t>M2175</t>
  </si>
  <si>
    <t>Tubo de concreto armado PA 1 - D = 1,00 m</t>
  </si>
  <si>
    <t>INCRA A 005</t>
  </si>
  <si>
    <t>Argamassa de cimento e areia 1:3 - areia comercial</t>
  </si>
  <si>
    <t>M0217</t>
  </si>
  <si>
    <t>Enxofre</t>
  </si>
  <si>
    <t>M0218</t>
  </si>
  <si>
    <t>Adubo fósforo (30%)</t>
  </si>
  <si>
    <t>M0219</t>
  </si>
  <si>
    <t>Adubo potássio</t>
  </si>
  <si>
    <t>M0220</t>
  </si>
  <si>
    <t>Adubo NPK</t>
  </si>
  <si>
    <t>M0223</t>
  </si>
  <si>
    <t>Sementes para hidrossemeadura</t>
  </si>
  <si>
    <t>M0225</t>
  </si>
  <si>
    <t>Adubo orgânico</t>
  </si>
  <si>
    <t>M1755</t>
  </si>
  <si>
    <t>Pó Calcário</t>
  </si>
  <si>
    <t>Vicinais de acesso à RESEX Chocoaré Matogrosso</t>
  </si>
  <si>
    <t>Recuperação de 12,15 km de estradas vicinais de acesso à RESEX Chocoaré Mato Grosso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</si>
</sst>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164" formatCode="_(&quot;R$ &quot;* #,##0.00_);_(&quot;R$ &quot;* \(#,##0.00\);_(&quot;R$ &quot;* \-??_);_(@_)"/>
    <numFmt numFmtId="165" formatCode="_(* #,##0.00_);_(* \(#,##0.00\);_(* \-??_);_(@_)"/>
    <numFmt numFmtId="166" formatCode="#,##0.000"/>
    <numFmt numFmtId="167" formatCode="dd/mm/yy;@"/>
    <numFmt numFmtId="168" formatCode="_-* #,##0.00_-;\-* #,##0.00_-;_-* \-??_-;_-@_-"/>
    <numFmt numFmtId="169" formatCode="000"/>
    <numFmt numFmtId="170" formatCode="000.00"/>
    <numFmt numFmtId="171" formatCode="00&quot; + &quot;000"/>
    <numFmt numFmtId="172" formatCode="_(* #,##0_);_(* \(#,##0\);_(* \-??_);_(@_)"/>
    <numFmt numFmtId="173" formatCode="_(* #,##0.00000000_);_(* \(#,##0.00000000\);_(* \-??_);_(@_)"/>
    <numFmt numFmtId="174" formatCode="0.00&quot;   x&quot;"/>
    <numFmt numFmtId="175" formatCode="0.00&quot;  &quot;"/>
    <numFmt numFmtId="176" formatCode="d&quot; de  &quot;mmmm&quot;, &quot;yyyy;@"/>
    <numFmt numFmtId="177" formatCode="mm/yy"/>
    <numFmt numFmtId="178" formatCode="mmm\-yy;@"/>
    <numFmt numFmtId="179" formatCode="d/m/yyyy"/>
    <numFmt numFmtId="180" formatCode="mmmm\-yy;@"/>
    <numFmt numFmtId="181" formatCode="_(&quot;R$&quot;* #,##0.00_);_(&quot;R$&quot;* \(#,##0.00\);_(&quot;R$&quot;* \-??_);_(@_)"/>
    <numFmt numFmtId="182" formatCode="&quot;R$ &quot;#,##0.00"/>
    <numFmt numFmtId="183" formatCode="0.000%"/>
    <numFmt numFmtId="184" formatCode="_-&quot;R$ &quot;* #,##0.00_-;&quot;-R$ &quot;* #,##0.00_-;_-&quot;R$ &quot;* \-??_-;_-@_-"/>
    <numFmt numFmtId="185" formatCode="#,##0.0000"/>
    <numFmt numFmtId="186" formatCode="#,##0.00000"/>
    <numFmt numFmtId="187" formatCode="0.0000"/>
    <numFmt numFmtId="188" formatCode="0.00000"/>
    <numFmt numFmtId="189" formatCode="#,##0.000000"/>
  </numFmts>
  <fonts count="71" x14ac:knownFonts="1">
    <font>
      <sz val="11"/>
      <color rgb="FF000000"/>
      <name val="Calibri"/>
      <family val="2"/>
      <charset val="1"/>
    </font>
    <font>
      <sz val="10"/>
      <name val="Arial"/>
      <family val="2"/>
      <charset val="1"/>
    </font>
    <font>
      <sz val="10"/>
      <name val="Arial"/>
      <family val="2"/>
    </font>
    <font>
      <b/>
      <sz val="11"/>
      <color rgb="FFFF0000"/>
      <name val="Arial"/>
      <family val="2"/>
      <charset val="1"/>
    </font>
    <font>
      <b/>
      <sz val="14"/>
      <name val="Arial"/>
      <family val="2"/>
      <charset val="1"/>
    </font>
    <font>
      <b/>
      <sz val="12"/>
      <name val="Arial"/>
      <family val="2"/>
      <charset val="1"/>
    </font>
    <font>
      <b/>
      <sz val="11"/>
      <name val="Arial"/>
      <family val="2"/>
      <charset val="1"/>
    </font>
    <font>
      <sz val="10"/>
      <name val="Calibri"/>
      <family val="2"/>
      <charset val="1"/>
    </font>
    <font>
      <b/>
      <i/>
      <sz val="10"/>
      <name val="Calibri"/>
      <family val="2"/>
      <charset val="1"/>
    </font>
    <font>
      <b/>
      <i/>
      <sz val="11"/>
      <name val="Calibri"/>
      <family val="2"/>
      <charset val="1"/>
    </font>
    <font>
      <i/>
      <sz val="10"/>
      <color rgb="FFFF0000"/>
      <name val="Calibri"/>
      <family val="2"/>
      <charset val="1"/>
    </font>
    <font>
      <b/>
      <sz val="14"/>
      <name val="Calibri"/>
      <family val="2"/>
      <charset val="1"/>
    </font>
    <font>
      <b/>
      <sz val="10"/>
      <name val="Arial"/>
      <family val="2"/>
      <charset val="1"/>
    </font>
    <font>
      <b/>
      <sz val="10"/>
      <name val="Calibri"/>
      <family val="2"/>
      <charset val="1"/>
    </font>
    <font>
      <b/>
      <i/>
      <u/>
      <sz val="10"/>
      <name val="Calibri"/>
      <family val="2"/>
      <charset val="1"/>
    </font>
    <font>
      <sz val="9"/>
      <name val="Calibri"/>
      <family val="2"/>
      <charset val="1"/>
    </font>
    <font>
      <sz val="10"/>
      <color rgb="FFFF0000"/>
      <name val="Arial"/>
      <family val="2"/>
      <charset val="1"/>
    </font>
    <font>
      <i/>
      <sz val="9"/>
      <name val="Arial"/>
      <family val="2"/>
      <charset val="1"/>
    </font>
    <font>
      <i/>
      <sz val="9"/>
      <color rgb="FFFF0000"/>
      <name val="Arial"/>
      <family val="2"/>
      <charset val="1"/>
    </font>
    <font>
      <b/>
      <sz val="9.5"/>
      <name val="Arial"/>
      <family val="2"/>
      <charset val="1"/>
    </font>
    <font>
      <sz val="9"/>
      <name val="Arial"/>
      <family val="2"/>
      <charset val="1"/>
    </font>
    <font>
      <b/>
      <sz val="9"/>
      <color rgb="FFFF0000"/>
      <name val="Arial"/>
      <family val="2"/>
      <charset val="1"/>
    </font>
    <font>
      <b/>
      <sz val="10"/>
      <color rgb="FFFF0000"/>
      <name val="Arial"/>
      <family val="2"/>
      <charset val="1"/>
    </font>
    <font>
      <b/>
      <sz val="10"/>
      <color rgb="FF0066CC"/>
      <name val="Arial"/>
      <family val="2"/>
      <charset val="1"/>
    </font>
    <font>
      <b/>
      <sz val="9"/>
      <color rgb="FF0066CC"/>
      <name val="Arial"/>
      <family val="2"/>
      <charset val="1"/>
    </font>
    <font>
      <b/>
      <u/>
      <sz val="10"/>
      <name val="Arial"/>
      <family val="2"/>
      <charset val="1"/>
    </font>
    <font>
      <b/>
      <u/>
      <sz val="12"/>
      <name val="Arial"/>
      <family val="2"/>
      <charset val="1"/>
    </font>
    <font>
      <b/>
      <sz val="9"/>
      <name val="Arial"/>
      <family val="2"/>
      <charset val="1"/>
    </font>
    <font>
      <b/>
      <vertAlign val="superscript"/>
      <sz val="10"/>
      <name val="Arial"/>
      <family val="2"/>
      <charset val="1"/>
    </font>
    <font>
      <b/>
      <i/>
      <sz val="10"/>
      <name val="Arial"/>
      <family val="2"/>
      <charset val="1"/>
    </font>
    <font>
      <sz val="8"/>
      <name val="Arial"/>
      <family val="2"/>
      <charset val="1"/>
    </font>
    <font>
      <sz val="7"/>
      <name val="Arial"/>
      <family val="2"/>
      <charset val="1"/>
    </font>
    <font>
      <sz val="12"/>
      <name val="Arial"/>
      <family val="2"/>
      <charset val="1"/>
    </font>
    <font>
      <b/>
      <sz val="16"/>
      <name val="Arial"/>
      <family val="2"/>
      <charset val="1"/>
    </font>
    <font>
      <b/>
      <i/>
      <sz val="12"/>
      <name val="Arial"/>
      <family val="2"/>
      <charset val="1"/>
    </font>
    <font>
      <sz val="16"/>
      <name val="Arial"/>
      <family val="2"/>
      <charset val="1"/>
    </font>
    <font>
      <sz val="11"/>
      <name val="Arial"/>
      <family val="2"/>
      <charset val="1"/>
    </font>
    <font>
      <i/>
      <sz val="10"/>
      <name val="Arial"/>
      <family val="2"/>
      <charset val="1"/>
    </font>
    <font>
      <u/>
      <sz val="8"/>
      <color rgb="FF99CC00"/>
      <name val="Arial"/>
      <family val="2"/>
      <charset val="1"/>
    </font>
    <font>
      <u/>
      <sz val="10"/>
      <color rgb="FF0000FF"/>
      <name val="Arial"/>
      <family val="2"/>
      <charset val="1"/>
    </font>
    <font>
      <u/>
      <sz val="8"/>
      <color rgb="FFFFFFFF"/>
      <name val="Arial"/>
      <family val="2"/>
      <charset val="1"/>
    </font>
    <font>
      <sz val="10.5"/>
      <color rgb="FF000000"/>
      <name val="Calibri"/>
      <family val="2"/>
      <charset val="1"/>
    </font>
    <font>
      <sz val="8"/>
      <color rgb="FF000000"/>
      <name val="Calibri"/>
      <family val="2"/>
      <charset val="1"/>
    </font>
    <font>
      <b/>
      <sz val="8"/>
      <color rgb="FFFFFFFF"/>
      <name val="Arial"/>
      <family val="2"/>
      <charset val="1"/>
    </font>
    <font>
      <b/>
      <sz val="1"/>
      <color rgb="FFFFFFFF"/>
      <name val="Arial"/>
      <family val="2"/>
      <charset val="1"/>
    </font>
    <font>
      <b/>
      <sz val="12"/>
      <color rgb="FFFFFFFF"/>
      <name val="Arial"/>
      <family val="2"/>
      <charset val="1"/>
    </font>
    <font>
      <b/>
      <sz val="8"/>
      <name val="Arial"/>
      <family val="2"/>
      <charset val="1"/>
    </font>
    <font>
      <sz val="1"/>
      <name val="Arial"/>
      <family val="2"/>
      <charset val="1"/>
    </font>
    <font>
      <sz val="10"/>
      <color rgb="FF000000"/>
      <name val="Arial"/>
      <family val="2"/>
      <charset val="1"/>
    </font>
    <font>
      <b/>
      <i/>
      <vertAlign val="superscript"/>
      <sz val="11"/>
      <name val="Arial"/>
      <family val="2"/>
      <charset val="1"/>
    </font>
    <font>
      <b/>
      <sz val="10"/>
      <name val="Times New Roman"/>
      <family val="1"/>
      <charset val="1"/>
    </font>
    <font>
      <i/>
      <sz val="10"/>
      <name val="Calibri"/>
      <family val="2"/>
      <charset val="1"/>
    </font>
    <font>
      <sz val="10"/>
      <color rgb="FFFFFFFF"/>
      <name val="Arial"/>
      <family val="2"/>
      <charset val="1"/>
    </font>
    <font>
      <sz val="11"/>
      <color rgb="FF000000"/>
      <name val="Arial"/>
      <family val="2"/>
      <charset val="1"/>
    </font>
    <font>
      <b/>
      <u/>
      <sz val="11"/>
      <color rgb="FF000000"/>
      <name val="Arial"/>
      <family val="2"/>
      <charset val="1"/>
    </font>
    <font>
      <b/>
      <sz val="10"/>
      <color rgb="FF000000"/>
      <name val="Arial"/>
      <family val="2"/>
      <charset val="1"/>
    </font>
    <font>
      <b/>
      <vertAlign val="subscript"/>
      <sz val="12"/>
      <name val="Arial"/>
      <family val="2"/>
      <charset val="1"/>
    </font>
    <font>
      <b/>
      <vertAlign val="subscript"/>
      <sz val="10"/>
      <name val="Arial"/>
      <family val="2"/>
      <charset val="1"/>
    </font>
    <font>
      <b/>
      <sz val="12"/>
      <name val="Arial"/>
      <family val="2"/>
    </font>
    <font>
      <b/>
      <vertAlign val="subscript"/>
      <sz val="12"/>
      <name val="Arial"/>
      <family val="2"/>
    </font>
    <font>
      <b/>
      <vertAlign val="subscript"/>
      <sz val="10"/>
      <name val="Arial"/>
      <family val="2"/>
    </font>
    <font>
      <b/>
      <sz val="10"/>
      <name val="Arial"/>
      <family val="2"/>
    </font>
    <font>
      <sz val="8"/>
      <name val="Arial"/>
      <family val="2"/>
    </font>
    <font>
      <b/>
      <sz val="8"/>
      <name val="Arial"/>
      <family val="2"/>
    </font>
    <font>
      <b/>
      <i/>
      <sz val="8"/>
      <color rgb="FFFF0000"/>
      <name val="Arial"/>
      <family val="2"/>
    </font>
    <font>
      <b/>
      <sz val="8"/>
      <color rgb="FFFF0000"/>
      <name val="Arial"/>
      <family val="2"/>
    </font>
    <font>
      <b/>
      <i/>
      <u/>
      <sz val="8"/>
      <name val="Arial"/>
      <family val="2"/>
    </font>
    <font>
      <b/>
      <u/>
      <sz val="8"/>
      <name val="Arial"/>
      <family val="2"/>
    </font>
    <font>
      <b/>
      <i/>
      <sz val="8"/>
      <name val="Arial"/>
      <family val="2"/>
    </font>
    <font>
      <sz val="8"/>
      <color rgb="FFFFFFFF"/>
      <name val="Arial"/>
      <family val="2"/>
    </font>
    <font>
      <sz val="11"/>
      <color rgb="FF000000"/>
      <name val="Calibri"/>
      <family val="2"/>
      <charset val="1"/>
    </font>
  </fonts>
  <fills count="8">
    <fill>
      <patternFill patternType="none"/>
    </fill>
    <fill>
      <patternFill patternType="gray125"/>
    </fill>
    <fill>
      <patternFill patternType="solid">
        <fgColor rgb="FFCCFFCC"/>
        <bgColor rgb="FFCCFFFF"/>
      </patternFill>
    </fill>
    <fill>
      <patternFill patternType="solid">
        <fgColor rgb="FFFFFFFF"/>
        <bgColor rgb="FFFFFFCC"/>
      </patternFill>
    </fill>
    <fill>
      <patternFill patternType="solid">
        <fgColor rgb="FF99CC00"/>
        <bgColor rgb="FFFFCC00"/>
      </patternFill>
    </fill>
    <fill>
      <patternFill patternType="solid">
        <fgColor rgb="FFFFFF99"/>
        <bgColor rgb="FFFFFFCC"/>
      </patternFill>
    </fill>
    <fill>
      <patternFill patternType="solid">
        <fgColor rgb="FFC0C0C0"/>
        <bgColor rgb="FFBFBFBF"/>
      </patternFill>
    </fill>
    <fill>
      <patternFill patternType="solid">
        <fgColor rgb="FFBFBFBF"/>
        <bgColor rgb="FFC0C0C0"/>
      </patternFill>
    </fill>
  </fills>
  <borders count="180">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style="hair">
        <color auto="1"/>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style="medium">
        <color auto="1"/>
      </bottom>
      <diagonal/>
    </border>
    <border>
      <left/>
      <right style="medium">
        <color auto="1"/>
      </right>
      <top style="medium">
        <color auto="1"/>
      </top>
      <bottom/>
      <diagonal/>
    </border>
    <border>
      <left style="medium">
        <color auto="1"/>
      </left>
      <right/>
      <top style="hair">
        <color auto="1"/>
      </top>
      <bottom style="thin">
        <color auto="1"/>
      </bottom>
      <diagonal/>
    </border>
    <border>
      <left/>
      <right style="hair">
        <color auto="1"/>
      </right>
      <top style="hair">
        <color auto="1"/>
      </top>
      <bottom style="thin">
        <color auto="1"/>
      </bottom>
      <diagonal/>
    </border>
    <border>
      <left/>
      <right style="medium">
        <color auto="1"/>
      </right>
      <top/>
      <bottom style="thin">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diagonal/>
    </border>
    <border>
      <left style="thin">
        <color auto="1"/>
      </left>
      <right style="medium">
        <color auto="1"/>
      </right>
      <top style="thin">
        <color auto="1"/>
      </top>
      <bottom/>
      <diagonal/>
    </border>
    <border>
      <left style="thin">
        <color auto="1"/>
      </left>
      <right style="medium">
        <color auto="1"/>
      </right>
      <top style="hair">
        <color auto="1"/>
      </top>
      <bottom style="hair">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diagonal/>
    </border>
    <border>
      <left style="thin">
        <color auto="1"/>
      </left>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bottom style="hair">
        <color auto="1"/>
      </bottom>
      <diagonal/>
    </border>
    <border>
      <left style="thin">
        <color auto="1"/>
      </left>
      <right/>
      <top/>
      <bottom style="hair">
        <color auto="1"/>
      </bottom>
      <diagonal/>
    </border>
    <border>
      <left style="thin">
        <color auto="1"/>
      </left>
      <right style="thin">
        <color auto="1"/>
      </right>
      <top style="double">
        <color auto="1"/>
      </top>
      <bottom style="hair">
        <color auto="1"/>
      </bottom>
      <diagonal/>
    </border>
    <border>
      <left style="thin">
        <color auto="1"/>
      </left>
      <right/>
      <top style="double">
        <color auto="1"/>
      </top>
      <bottom style="hair">
        <color auto="1"/>
      </bottom>
      <diagonal/>
    </border>
    <border>
      <left style="thin">
        <color auto="1"/>
      </left>
      <right style="medium">
        <color auto="1"/>
      </right>
      <top style="double">
        <color auto="1"/>
      </top>
      <bottom style="hair">
        <color auto="1"/>
      </bottom>
      <diagonal/>
    </border>
    <border>
      <left style="thin">
        <color auto="1"/>
      </left>
      <right style="medium">
        <color auto="1"/>
      </right>
      <top style="thin">
        <color auto="1"/>
      </top>
      <bottom style="hair">
        <color auto="1"/>
      </bottom>
      <diagonal/>
    </border>
    <border>
      <left style="thin">
        <color auto="1"/>
      </left>
      <right style="thin">
        <color auto="1"/>
      </right>
      <top style="hair">
        <color auto="1"/>
      </top>
      <bottom style="double">
        <color auto="1"/>
      </bottom>
      <diagonal/>
    </border>
    <border>
      <left style="thin">
        <color auto="1"/>
      </left>
      <right/>
      <top style="hair">
        <color auto="1"/>
      </top>
      <bottom style="double">
        <color auto="1"/>
      </bottom>
      <diagonal/>
    </border>
    <border>
      <left style="thin">
        <color auto="1"/>
      </left>
      <right style="medium">
        <color auto="1"/>
      </right>
      <top style="hair">
        <color auto="1"/>
      </top>
      <bottom style="double">
        <color auto="1"/>
      </bottom>
      <diagonal/>
    </border>
    <border>
      <left style="medium">
        <color auto="1"/>
      </left>
      <right style="thin">
        <color auto="1"/>
      </right>
      <top/>
      <bottom style="hair">
        <color auto="1"/>
      </bottom>
      <diagonal/>
    </border>
    <border>
      <left style="thin">
        <color auto="1"/>
      </left>
      <right style="medium">
        <color auto="1"/>
      </right>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medium">
        <color auto="1"/>
      </bottom>
      <diagonal/>
    </border>
    <border>
      <left style="medium">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right style="medium">
        <color auto="1"/>
      </right>
      <top/>
      <bottom style="medium">
        <color auto="1"/>
      </bottom>
      <diagonal/>
    </border>
    <border>
      <left style="thin">
        <color auto="1"/>
      </left>
      <right style="medium">
        <color auto="1"/>
      </right>
      <top style="hair">
        <color auto="1"/>
      </top>
      <bottom/>
      <diagonal/>
    </border>
    <border>
      <left style="medium">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medium">
        <color auto="1"/>
      </left>
      <right style="thin">
        <color auto="1"/>
      </right>
      <top style="hair">
        <color auto="1"/>
      </top>
      <bottom/>
      <diagonal/>
    </border>
    <border>
      <left style="double">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style="double">
        <color auto="1"/>
      </right>
      <top style="double">
        <color auto="1"/>
      </top>
      <bottom style="hair">
        <color auto="1"/>
      </bottom>
      <diagonal/>
    </border>
    <border>
      <left style="double">
        <color auto="1"/>
      </left>
      <right/>
      <top/>
      <bottom/>
      <diagonal/>
    </border>
    <border>
      <left/>
      <right style="double">
        <color auto="1"/>
      </right>
      <top/>
      <bottom/>
      <diagonal/>
    </border>
    <border>
      <left style="thin">
        <color auto="1"/>
      </left>
      <right style="double">
        <color auto="1"/>
      </right>
      <top/>
      <bottom/>
      <diagonal/>
    </border>
    <border>
      <left style="thin">
        <color auto="1"/>
      </left>
      <right style="double">
        <color auto="1"/>
      </right>
      <top/>
      <bottom style="hair">
        <color auto="1"/>
      </bottom>
      <diagonal/>
    </border>
    <border>
      <left style="double">
        <color auto="1"/>
      </left>
      <right/>
      <top/>
      <bottom style="thin">
        <color auto="1"/>
      </bottom>
      <diagonal/>
    </border>
    <border>
      <left style="thin">
        <color auto="1"/>
      </left>
      <right style="double">
        <color auto="1"/>
      </right>
      <top style="hair">
        <color auto="1"/>
      </top>
      <bottom style="thin">
        <color auto="1"/>
      </bottom>
      <diagonal/>
    </border>
    <border>
      <left style="double">
        <color auto="1"/>
      </left>
      <right/>
      <top style="thin">
        <color auto="1"/>
      </top>
      <bottom/>
      <diagonal/>
    </border>
    <border>
      <left/>
      <right style="double">
        <color auto="1"/>
      </right>
      <top style="thin">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style="double">
        <color auto="1"/>
      </top>
      <bottom style="double">
        <color auto="1"/>
      </bottom>
      <diagonal/>
    </border>
    <border>
      <left style="double">
        <color auto="1"/>
      </left>
      <right style="double">
        <color auto="1"/>
      </right>
      <top style="double">
        <color auto="1"/>
      </top>
      <bottom style="double">
        <color auto="1"/>
      </bottom>
      <diagonal/>
    </border>
    <border>
      <left style="double">
        <color auto="1"/>
      </left>
      <right style="thin">
        <color auto="1"/>
      </right>
      <top style="double">
        <color auto="1"/>
      </top>
      <bottom style="double">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style="thin">
        <color auto="1"/>
      </bottom>
      <diagonal/>
    </border>
    <border>
      <left/>
      <right style="double">
        <color auto="1"/>
      </right>
      <top style="thin">
        <color auto="1"/>
      </top>
      <bottom style="thin">
        <color auto="1"/>
      </bottom>
      <diagonal/>
    </border>
    <border>
      <left style="double">
        <color auto="1"/>
      </left>
      <right style="double">
        <color auto="1"/>
      </right>
      <top style="thin">
        <color auto="1"/>
      </top>
      <bottom style="thin">
        <color auto="1"/>
      </bottom>
      <diagonal/>
    </border>
    <border>
      <left style="double">
        <color auto="1"/>
      </left>
      <right/>
      <top/>
      <bottom style="hair">
        <color auto="1"/>
      </bottom>
      <diagonal/>
    </border>
    <border>
      <left/>
      <right/>
      <top/>
      <bottom style="hair">
        <color auto="1"/>
      </bottom>
      <diagonal/>
    </border>
    <border>
      <left style="double">
        <color auto="1"/>
      </left>
      <right style="double">
        <color auto="1"/>
      </right>
      <top/>
      <bottom style="hair">
        <color auto="1"/>
      </bottom>
      <diagonal/>
    </border>
    <border>
      <left style="double">
        <color auto="1"/>
      </left>
      <right style="double">
        <color auto="1"/>
      </right>
      <top style="hair">
        <color auto="1"/>
      </top>
      <bottom style="hair">
        <color auto="1"/>
      </bottom>
      <diagonal/>
    </border>
    <border>
      <left/>
      <right/>
      <top style="hair">
        <color auto="1"/>
      </top>
      <bottom style="hair">
        <color auto="1"/>
      </bottom>
      <diagonal/>
    </border>
    <border>
      <left style="double">
        <color auto="1"/>
      </left>
      <right/>
      <top style="hair">
        <color auto="1"/>
      </top>
      <bottom style="hair">
        <color auto="1"/>
      </bottom>
      <diagonal/>
    </border>
    <border>
      <left/>
      <right style="double">
        <color auto="1"/>
      </right>
      <top style="hair">
        <color auto="1"/>
      </top>
      <bottom style="hair">
        <color auto="1"/>
      </bottom>
      <diagonal/>
    </border>
    <border>
      <left style="double">
        <color auto="1"/>
      </left>
      <right/>
      <top style="hair">
        <color auto="1"/>
      </top>
      <bottom style="thin">
        <color auto="1"/>
      </bottom>
      <diagonal/>
    </border>
    <border>
      <left/>
      <right/>
      <top style="hair">
        <color auto="1"/>
      </top>
      <bottom style="thin">
        <color auto="1"/>
      </bottom>
      <diagonal/>
    </border>
    <border>
      <left/>
      <right style="double">
        <color auto="1"/>
      </right>
      <top style="hair">
        <color auto="1"/>
      </top>
      <bottom style="thin">
        <color auto="1"/>
      </bottom>
      <diagonal/>
    </border>
    <border>
      <left style="double">
        <color auto="1"/>
      </left>
      <right/>
      <top style="hair">
        <color auto="1"/>
      </top>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double">
        <color auto="1"/>
      </right>
      <top/>
      <bottom style="hair">
        <color auto="1"/>
      </bottom>
      <diagonal/>
    </border>
    <border>
      <left/>
      <right/>
      <top style="hair">
        <color auto="1"/>
      </top>
      <bottom/>
      <diagonal/>
    </border>
    <border>
      <left/>
      <right style="double">
        <color auto="1"/>
      </right>
      <top style="hair">
        <color auto="1"/>
      </top>
      <bottom/>
      <diagonal/>
    </border>
    <border>
      <left style="hair">
        <color auto="1"/>
      </left>
      <right style="double">
        <color auto="1"/>
      </right>
      <top style="hair">
        <color auto="1"/>
      </top>
      <bottom style="hair">
        <color auto="1"/>
      </bottom>
      <diagonal/>
    </border>
    <border>
      <left/>
      <right style="double">
        <color auto="1"/>
      </right>
      <top style="thin">
        <color auto="1"/>
      </top>
      <bottom style="hair">
        <color auto="1"/>
      </bottom>
      <diagonal/>
    </border>
    <border>
      <left/>
      <right/>
      <top style="thin">
        <color auto="1"/>
      </top>
      <bottom style="hair">
        <color auto="1"/>
      </bottom>
      <diagonal/>
    </border>
    <border>
      <left style="double">
        <color auto="1"/>
      </left>
      <right/>
      <top style="hair">
        <color auto="1"/>
      </top>
      <bottom style="double">
        <color auto="1"/>
      </bottom>
      <diagonal/>
    </border>
    <border>
      <left/>
      <right/>
      <top style="hair">
        <color auto="1"/>
      </top>
      <bottom style="double">
        <color auto="1"/>
      </bottom>
      <diagonal/>
    </border>
    <border>
      <left/>
      <right style="double">
        <color auto="1"/>
      </right>
      <top style="hair">
        <color auto="1"/>
      </top>
      <bottom style="double">
        <color auto="1"/>
      </bottom>
      <diagonal/>
    </border>
    <border>
      <left/>
      <right style="double">
        <color auto="1"/>
      </right>
      <top style="double">
        <color auto="1"/>
      </top>
      <bottom/>
      <diagonal/>
    </border>
    <border>
      <left/>
      <right/>
      <top style="double">
        <color auto="1"/>
      </top>
      <bottom style="double">
        <color auto="1"/>
      </bottom>
      <diagonal/>
    </border>
    <border>
      <left/>
      <right style="double">
        <color auto="1"/>
      </right>
      <top style="double">
        <color auto="1"/>
      </top>
      <bottom style="double">
        <color auto="1"/>
      </bottom>
      <diagonal/>
    </border>
    <border>
      <left style="hair">
        <color auto="1"/>
      </left>
      <right style="hair">
        <color auto="1"/>
      </right>
      <top style="hair">
        <color auto="1"/>
      </top>
      <bottom/>
      <diagonal/>
    </border>
    <border>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medium">
        <color auto="1"/>
      </left>
      <right style="medium">
        <color auto="1"/>
      </right>
      <top style="medium">
        <color auto="1"/>
      </top>
      <bottom style="thin">
        <color auto="1"/>
      </bottom>
      <diagonal/>
    </border>
    <border>
      <left style="medium">
        <color auto="1"/>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style="thin">
        <color auto="1"/>
      </top>
      <bottom style="hair">
        <color auto="1"/>
      </bottom>
      <diagonal/>
    </border>
    <border>
      <left style="medium">
        <color auto="1"/>
      </left>
      <right style="medium">
        <color auto="1"/>
      </right>
      <top style="thin">
        <color auto="1"/>
      </top>
      <bottom style="hair">
        <color auto="1"/>
      </bottom>
      <diagonal/>
    </border>
    <border>
      <left style="medium">
        <color auto="1"/>
      </left>
      <right style="hair">
        <color auto="1"/>
      </right>
      <top style="hair">
        <color auto="1"/>
      </top>
      <bottom style="hair">
        <color auto="1"/>
      </bottom>
      <diagonal/>
    </border>
    <border>
      <left/>
      <right style="thin">
        <color auto="1"/>
      </right>
      <top style="hair">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hair">
        <color auto="1"/>
      </right>
      <top style="hair">
        <color auto="1"/>
      </top>
      <bottom style="thin">
        <color auto="1"/>
      </bottom>
      <diagonal/>
    </border>
    <border>
      <left style="hair">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hair">
        <color auto="1"/>
      </left>
      <right style="thin">
        <color auto="1"/>
      </right>
      <top style="thin">
        <color auto="1"/>
      </top>
      <bottom style="thin">
        <color auto="1"/>
      </bottom>
      <diagonal/>
    </border>
    <border>
      <left style="medium">
        <color auto="1"/>
      </left>
      <right style="hair">
        <color auto="1"/>
      </right>
      <top style="thin">
        <color auto="1"/>
      </top>
      <bottom/>
      <diagonal/>
    </border>
    <border>
      <left/>
      <right style="hair">
        <color auto="1"/>
      </right>
      <top style="thin">
        <color auto="1"/>
      </top>
      <bottom style="hair">
        <color auto="1"/>
      </bottom>
      <diagonal/>
    </border>
    <border>
      <left style="hair">
        <color auto="1"/>
      </left>
      <right/>
      <top style="hair">
        <color auto="1"/>
      </top>
      <bottom/>
      <diagonal/>
    </border>
    <border>
      <left/>
      <right style="thin">
        <color auto="1"/>
      </right>
      <top style="hair">
        <color auto="1"/>
      </top>
      <bottom/>
      <diagonal/>
    </border>
    <border>
      <left style="medium">
        <color auto="1"/>
      </left>
      <right style="medium">
        <color auto="1"/>
      </right>
      <top style="hair">
        <color auto="1"/>
      </top>
      <bottom/>
      <diagonal/>
    </border>
    <border>
      <left style="thin">
        <color auto="1"/>
      </left>
      <right style="medium">
        <color auto="1"/>
      </right>
      <top/>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thin">
        <color auto="1"/>
      </bottom>
      <diagonal/>
    </border>
    <border>
      <left style="thin">
        <color auto="1"/>
      </left>
      <right/>
      <top/>
      <bottom style="medium">
        <color auto="1"/>
      </bottom>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medium">
        <color auto="1"/>
      </left>
      <right/>
      <top style="hair">
        <color auto="1"/>
      </top>
      <bottom style="hair">
        <color auto="1"/>
      </bottom>
      <diagonal/>
    </border>
    <border>
      <left style="thin">
        <color auto="1"/>
      </left>
      <right style="medium">
        <color auto="1"/>
      </right>
      <top style="hair">
        <color auto="1"/>
      </top>
      <bottom style="thin">
        <color auto="1"/>
      </bottom>
      <diagonal/>
    </border>
    <border>
      <left style="hair">
        <color auto="1"/>
      </left>
      <right/>
      <top/>
      <bottom/>
      <diagonal/>
    </border>
    <border>
      <left/>
      <right style="thin">
        <color auto="1"/>
      </right>
      <top/>
      <bottom style="hair">
        <color auto="1"/>
      </bottom>
      <diagonal/>
    </border>
    <border>
      <left style="thin">
        <color auto="1"/>
      </left>
      <right/>
      <top style="hair">
        <color auto="1"/>
      </top>
      <bottom/>
      <diagonal/>
    </border>
  </borders>
  <cellStyleXfs count="5">
    <xf numFmtId="0" fontId="0" fillId="0" borderId="0"/>
    <xf numFmtId="168" fontId="70" fillId="0" borderId="0" applyBorder="0" applyProtection="0"/>
    <xf numFmtId="9" fontId="70" fillId="0" borderId="0" applyBorder="0" applyProtection="0"/>
    <xf numFmtId="0" fontId="39" fillId="0" borderId="0" applyBorder="0" applyProtection="0"/>
    <xf numFmtId="0" fontId="2" fillId="0" borderId="0"/>
  </cellStyleXfs>
  <cellXfs count="1553">
    <xf numFmtId="0" fontId="0" fillId="0" borderId="0" xfId="0"/>
    <xf numFmtId="0" fontId="0" fillId="0" borderId="0" xfId="0" applyProtection="1"/>
    <xf numFmtId="0" fontId="0" fillId="3" borderId="4" xfId="0" applyFill="1" applyBorder="1" applyAlignment="1" applyProtection="1">
      <alignment horizontal="center" vertical="center"/>
    </xf>
    <xf numFmtId="0" fontId="6" fillId="3" borderId="0" xfId="0" applyFont="1" applyFill="1" applyBorder="1" applyAlignment="1" applyProtection="1">
      <alignment horizontal="center" vertical="center"/>
    </xf>
    <xf numFmtId="0" fontId="7" fillId="5" borderId="6" xfId="0" applyFont="1" applyFill="1" applyBorder="1" applyAlignment="1" applyProtection="1">
      <alignment horizontal="right" vertical="center"/>
    </xf>
    <xf numFmtId="2" fontId="8" fillId="5" borderId="7" xfId="0" applyNumberFormat="1" applyFont="1" applyFill="1" applyBorder="1" applyAlignment="1" applyProtection="1">
      <alignment vertical="center"/>
    </xf>
    <xf numFmtId="0" fontId="9" fillId="5" borderId="7" xfId="0" applyFont="1" applyFill="1" applyBorder="1" applyAlignment="1" applyProtection="1">
      <alignment vertical="center"/>
    </xf>
    <xf numFmtId="0" fontId="7" fillId="5" borderId="7" xfId="0" applyFont="1" applyFill="1" applyBorder="1" applyAlignment="1" applyProtection="1">
      <alignment vertical="center"/>
    </xf>
    <xf numFmtId="0" fontId="7" fillId="5" borderId="8" xfId="0" applyFont="1" applyFill="1" applyBorder="1" applyAlignment="1" applyProtection="1">
      <alignment vertical="center"/>
    </xf>
    <xf numFmtId="0" fontId="7" fillId="5" borderId="9" xfId="0" applyFont="1" applyFill="1" applyBorder="1" applyAlignment="1" applyProtection="1">
      <alignment horizontal="right" vertical="center"/>
    </xf>
    <xf numFmtId="0" fontId="8" fillId="5" borderId="0" xfId="0" applyFont="1" applyFill="1" applyBorder="1" applyAlignment="1" applyProtection="1">
      <alignment vertical="center"/>
    </xf>
    <xf numFmtId="0" fontId="9" fillId="5" borderId="0" xfId="0" applyFont="1" applyFill="1" applyBorder="1" applyAlignment="1" applyProtection="1">
      <alignment vertical="center"/>
    </xf>
    <xf numFmtId="0" fontId="7" fillId="5" borderId="0" xfId="0" applyFont="1" applyFill="1" applyBorder="1" applyAlignment="1" applyProtection="1">
      <alignment vertical="center"/>
    </xf>
    <xf numFmtId="0" fontId="10" fillId="5" borderId="0" xfId="0" applyFont="1" applyFill="1" applyBorder="1" applyAlignment="1" applyProtection="1">
      <alignment vertical="center"/>
    </xf>
    <xf numFmtId="0" fontId="7" fillId="5" borderId="10" xfId="0" applyFont="1" applyFill="1" applyBorder="1" applyAlignment="1" applyProtection="1">
      <alignment vertical="center"/>
    </xf>
    <xf numFmtId="0" fontId="7" fillId="5" borderId="11" xfId="0" applyFont="1" applyFill="1" applyBorder="1" applyAlignment="1" applyProtection="1">
      <alignment horizontal="right" vertical="center"/>
    </xf>
    <xf numFmtId="0" fontId="8" fillId="5" borderId="1" xfId="0" applyFont="1" applyFill="1" applyBorder="1" applyAlignment="1" applyProtection="1">
      <alignment vertical="center"/>
    </xf>
    <xf numFmtId="0" fontId="9" fillId="5" borderId="1" xfId="0" applyFont="1" applyFill="1" applyBorder="1" applyAlignment="1" applyProtection="1">
      <alignment vertical="center"/>
    </xf>
    <xf numFmtId="0" fontId="7" fillId="5" borderId="1" xfId="0" applyFont="1" applyFill="1" applyBorder="1" applyAlignment="1" applyProtection="1">
      <alignment vertical="center"/>
    </xf>
    <xf numFmtId="0" fontId="7" fillId="5" borderId="1" xfId="0" applyFont="1" applyFill="1" applyBorder="1" applyAlignment="1" applyProtection="1">
      <alignment horizontal="right" vertical="center"/>
    </xf>
    <xf numFmtId="167" fontId="8" fillId="5" borderId="12" xfId="0" applyNumberFormat="1" applyFont="1" applyFill="1" applyBorder="1" applyAlignment="1" applyProtection="1">
      <alignment horizontal="left" vertical="center"/>
    </xf>
    <xf numFmtId="0" fontId="12" fillId="3" borderId="0" xfId="0" applyFont="1" applyFill="1" applyBorder="1" applyAlignment="1" applyProtection="1">
      <alignment vertical="center"/>
    </xf>
    <xf numFmtId="0" fontId="13" fillId="4" borderId="14" xfId="4" applyNumberFormat="1" applyFont="1" applyFill="1" applyBorder="1" applyAlignment="1" applyProtection="1">
      <alignment horizontal="center" vertical="center"/>
    </xf>
    <xf numFmtId="0" fontId="13" fillId="4" borderId="17" xfId="4" applyNumberFormat="1" applyFont="1" applyFill="1" applyBorder="1" applyAlignment="1" applyProtection="1">
      <alignment horizontal="center" vertical="center"/>
    </xf>
    <xf numFmtId="0" fontId="13" fillId="4" borderId="16" xfId="4" applyNumberFormat="1" applyFont="1" applyFill="1" applyBorder="1" applyAlignment="1" applyProtection="1">
      <alignment horizontal="center" vertical="center"/>
    </xf>
    <xf numFmtId="0" fontId="13" fillId="4" borderId="18" xfId="4" applyNumberFormat="1" applyFont="1" applyFill="1" applyBorder="1" applyAlignment="1" applyProtection="1">
      <alignment horizontal="center" vertical="center"/>
    </xf>
    <xf numFmtId="0" fontId="14" fillId="5" borderId="19" xfId="0" applyFont="1" applyFill="1" applyBorder="1" applyAlignment="1" applyProtection="1">
      <alignment horizontal="left" vertical="center"/>
      <protection locked="0"/>
    </xf>
    <xf numFmtId="4" fontId="0" fillId="5" borderId="20" xfId="0" applyNumberFormat="1" applyFont="1" applyFill="1" applyBorder="1" applyAlignment="1" applyProtection="1">
      <alignment horizontal="center" vertical="center"/>
      <protection locked="0"/>
    </xf>
    <xf numFmtId="4" fontId="0" fillId="3" borderId="21" xfId="0" applyNumberFormat="1" applyFont="1" applyFill="1" applyBorder="1" applyAlignment="1" applyProtection="1">
      <alignment horizontal="center" vertical="center"/>
      <protection locked="0"/>
    </xf>
    <xf numFmtId="1" fontId="0" fillId="3" borderId="21" xfId="0" applyNumberFormat="1" applyFont="1" applyFill="1" applyBorder="1" applyAlignment="1" applyProtection="1">
      <alignment horizontal="center" vertical="center"/>
      <protection locked="0"/>
    </xf>
    <xf numFmtId="0" fontId="0" fillId="3" borderId="21" xfId="0" applyFont="1" applyFill="1" applyBorder="1" applyProtection="1">
      <protection locked="0"/>
    </xf>
    <xf numFmtId="168" fontId="12" fillId="3" borderId="22" xfId="4" applyNumberFormat="1" applyFont="1" applyFill="1" applyBorder="1" applyAlignment="1" applyProtection="1">
      <protection locked="0"/>
    </xf>
    <xf numFmtId="169" fontId="15" fillId="5" borderId="23" xfId="4" applyNumberFormat="1" applyFont="1" applyFill="1" applyBorder="1" applyAlignment="1" applyProtection="1">
      <alignment horizontal="center" vertical="center"/>
      <protection locked="0"/>
    </xf>
    <xf numFmtId="4" fontId="15" fillId="5" borderId="5" xfId="0" applyNumberFormat="1" applyFont="1" applyFill="1" applyBorder="1" applyAlignment="1" applyProtection="1">
      <alignment horizontal="center" vertical="center"/>
      <protection locked="0"/>
    </xf>
    <xf numFmtId="4" fontId="15" fillId="5" borderId="5" xfId="0" applyNumberFormat="1" applyFont="1" applyFill="1" applyBorder="1" applyAlignment="1" applyProtection="1">
      <alignment horizontal="right" vertical="center"/>
      <protection locked="0"/>
    </xf>
    <xf numFmtId="0" fontId="15" fillId="5" borderId="5" xfId="0" applyFont="1" applyFill="1" applyBorder="1" applyAlignment="1" applyProtection="1">
      <alignment horizontal="center" vertical="center"/>
      <protection locked="0"/>
    </xf>
    <xf numFmtId="168" fontId="15" fillId="5" borderId="24" xfId="4" applyNumberFormat="1" applyFont="1" applyFill="1" applyBorder="1" applyAlignment="1" applyProtection="1">
      <alignment horizontal="center" vertical="center"/>
      <protection locked="0"/>
    </xf>
    <xf numFmtId="0" fontId="0" fillId="3" borderId="25" xfId="0" applyFill="1" applyBorder="1" applyAlignment="1" applyProtection="1">
      <alignment horizontal="center" vertical="center"/>
      <protection locked="0"/>
    </xf>
    <xf numFmtId="4" fontId="0" fillId="3" borderId="26" xfId="0" applyNumberFormat="1" applyFill="1" applyBorder="1" applyAlignment="1" applyProtection="1">
      <alignment horizontal="center" vertical="center"/>
      <protection locked="0"/>
    </xf>
    <xf numFmtId="4" fontId="8" fillId="5" borderId="13" xfId="0" applyNumberFormat="1" applyFont="1" applyFill="1" applyBorder="1" applyAlignment="1" applyProtection="1">
      <alignment horizontal="right"/>
      <protection locked="0"/>
    </xf>
    <xf numFmtId="0" fontId="8" fillId="5" borderId="27" xfId="4" applyNumberFormat="1" applyFont="1" applyFill="1" applyBorder="1" applyAlignment="1" applyProtection="1">
      <alignment horizontal="center" vertical="center" wrapText="1"/>
      <protection locked="0"/>
    </xf>
    <xf numFmtId="168" fontId="0" fillId="3" borderId="28" xfId="4" applyNumberFormat="1" applyFont="1" applyFill="1" applyBorder="1" applyAlignment="1" applyProtection="1">
      <alignment horizontal="left" vertical="center"/>
      <protection locked="0"/>
    </xf>
    <xf numFmtId="0" fontId="14" fillId="5" borderId="29" xfId="0" applyFont="1" applyFill="1" applyBorder="1" applyAlignment="1" applyProtection="1">
      <alignment horizontal="left" vertical="center"/>
      <protection locked="0"/>
    </xf>
    <xf numFmtId="4" fontId="0" fillId="5" borderId="30" xfId="0" applyNumberFormat="1" applyFill="1" applyBorder="1" applyAlignment="1" applyProtection="1">
      <alignment horizontal="center" vertical="center"/>
      <protection locked="0"/>
    </xf>
    <xf numFmtId="4" fontId="0" fillId="3" borderId="1" xfId="0" applyNumberFormat="1" applyFill="1" applyBorder="1" applyAlignment="1" applyProtection="1">
      <alignment horizontal="center" vertical="center"/>
      <protection locked="0"/>
    </xf>
    <xf numFmtId="4" fontId="0" fillId="3" borderId="1" xfId="0" applyNumberFormat="1" applyFont="1" applyFill="1" applyBorder="1" applyAlignment="1" applyProtection="1">
      <alignment horizontal="right" vertical="center"/>
      <protection locked="0"/>
    </xf>
    <xf numFmtId="4" fontId="0" fillId="3" borderId="1" xfId="0" applyNumberFormat="1" applyFill="1" applyBorder="1" applyAlignment="1" applyProtection="1">
      <alignment horizontal="right" vertical="center"/>
      <protection locked="0"/>
    </xf>
    <xf numFmtId="0" fontId="0" fillId="3" borderId="1" xfId="0" applyFont="1" applyFill="1" applyBorder="1" applyAlignment="1" applyProtection="1">
      <alignment horizontal="center" vertical="center"/>
      <protection locked="0"/>
    </xf>
    <xf numFmtId="168" fontId="0" fillId="3" borderId="31" xfId="4" applyNumberFormat="1" applyFont="1" applyFill="1" applyBorder="1" applyAlignment="1" applyProtection="1">
      <alignment horizontal="left" vertical="center"/>
      <protection locked="0"/>
    </xf>
    <xf numFmtId="0" fontId="0" fillId="5" borderId="32" xfId="0" applyFont="1" applyFill="1" applyBorder="1" applyAlignment="1" applyProtection="1">
      <alignment horizontal="center" vertical="center"/>
      <protection locked="0"/>
    </xf>
    <xf numFmtId="49" fontId="0" fillId="5" borderId="32" xfId="1" applyNumberFormat="1" applyFont="1" applyFill="1" applyBorder="1" applyAlignment="1" applyProtection="1">
      <alignment horizontal="center" vertical="center"/>
      <protection locked="0"/>
    </xf>
    <xf numFmtId="49" fontId="0" fillId="5" borderId="33" xfId="1" applyNumberFormat="1" applyFont="1" applyFill="1" applyBorder="1" applyAlignment="1" applyProtection="1">
      <alignment horizontal="center" vertical="center"/>
      <protection locked="0"/>
    </xf>
    <xf numFmtId="4" fontId="15" fillId="5" borderId="2" xfId="0" applyNumberFormat="1" applyFont="1" applyFill="1" applyBorder="1" applyAlignment="1" applyProtection="1">
      <alignment horizontal="center" vertical="center"/>
      <protection locked="0"/>
    </xf>
    <xf numFmtId="4" fontId="15" fillId="5" borderId="2" xfId="0" applyNumberFormat="1" applyFont="1" applyFill="1" applyBorder="1" applyAlignment="1" applyProtection="1">
      <alignment horizontal="right" vertical="center"/>
      <protection locked="0"/>
    </xf>
    <xf numFmtId="0" fontId="0" fillId="5" borderId="34" xfId="0" applyFont="1" applyFill="1" applyBorder="1" applyAlignment="1" applyProtection="1">
      <alignment horizontal="justify" vertical="center"/>
      <protection locked="0"/>
    </xf>
    <xf numFmtId="168" fontId="15" fillId="5" borderId="35" xfId="4" applyNumberFormat="1" applyFont="1" applyFill="1" applyBorder="1" applyAlignment="1" applyProtection="1">
      <alignment horizontal="center" vertical="center"/>
      <protection locked="0"/>
    </xf>
    <xf numFmtId="4" fontId="15" fillId="5" borderId="32" xfId="0" applyNumberFormat="1" applyFont="1" applyFill="1" applyBorder="1" applyAlignment="1" applyProtection="1">
      <alignment horizontal="center" vertical="center"/>
      <protection locked="0"/>
    </xf>
    <xf numFmtId="4" fontId="15" fillId="5" borderId="32" xfId="0" applyNumberFormat="1" applyFont="1" applyFill="1" applyBorder="1" applyAlignment="1" applyProtection="1">
      <alignment horizontal="right" vertical="center"/>
      <protection locked="0"/>
    </xf>
    <xf numFmtId="0" fontId="0" fillId="5" borderId="32" xfId="0" applyFont="1" applyFill="1" applyBorder="1" applyAlignment="1" applyProtection="1">
      <alignment horizontal="justify" vertical="center" wrapText="1"/>
      <protection locked="0"/>
    </xf>
    <xf numFmtId="168" fontId="15" fillId="5" borderId="36" xfId="4" applyNumberFormat="1" applyFont="1" applyFill="1" applyBorder="1" applyAlignment="1" applyProtection="1">
      <alignment horizontal="center" vertical="center"/>
      <protection locked="0"/>
    </xf>
    <xf numFmtId="168" fontId="0" fillId="5" borderId="32" xfId="1" applyFont="1" applyFill="1" applyBorder="1" applyAlignment="1" applyProtection="1">
      <alignment vertical="center"/>
      <protection locked="0"/>
    </xf>
    <xf numFmtId="0" fontId="8" fillId="5" borderId="27" xfId="4" applyNumberFormat="1" applyFont="1" applyFill="1" applyBorder="1" applyAlignment="1" applyProtection="1">
      <alignment horizontal="center" vertical="center"/>
      <protection locked="0"/>
    </xf>
    <xf numFmtId="0" fontId="14" fillId="3" borderId="37" xfId="0" applyFont="1" applyFill="1" applyBorder="1" applyAlignment="1" applyProtection="1">
      <alignment horizontal="left" vertical="center"/>
      <protection locked="0"/>
    </xf>
    <xf numFmtId="0" fontId="14" fillId="3" borderId="38" xfId="0" applyFont="1" applyFill="1" applyBorder="1" applyAlignment="1" applyProtection="1">
      <alignment horizontal="left" vertical="center"/>
      <protection locked="0"/>
    </xf>
    <xf numFmtId="4" fontId="0" fillId="3" borderId="4" xfId="0" applyNumberFormat="1" applyFill="1" applyBorder="1" applyAlignment="1" applyProtection="1">
      <alignment horizontal="center" vertical="center"/>
      <protection locked="0"/>
    </xf>
    <xf numFmtId="4" fontId="0" fillId="3" borderId="4" xfId="0" applyNumberFormat="1" applyFont="1" applyFill="1" applyBorder="1" applyAlignment="1" applyProtection="1">
      <alignment horizontal="right" vertical="center"/>
      <protection locked="0"/>
    </xf>
    <xf numFmtId="4" fontId="13" fillId="3" borderId="5" xfId="0" applyNumberFormat="1" applyFont="1" applyFill="1" applyBorder="1" applyAlignment="1" applyProtection="1">
      <alignment horizontal="center" vertical="center"/>
      <protection locked="0"/>
    </xf>
    <xf numFmtId="4" fontId="0" fillId="3" borderId="4" xfId="0" applyNumberFormat="1" applyFill="1" applyBorder="1" applyAlignment="1" applyProtection="1">
      <alignment horizontal="right" vertical="center"/>
      <protection locked="0"/>
    </xf>
    <xf numFmtId="0" fontId="0" fillId="3" borderId="4" xfId="0" applyFont="1" applyFill="1" applyBorder="1" applyAlignment="1" applyProtection="1">
      <alignment horizontal="center" vertical="center"/>
      <protection locked="0"/>
    </xf>
    <xf numFmtId="168" fontId="0" fillId="3" borderId="39" xfId="4" applyNumberFormat="1" applyFont="1" applyFill="1" applyBorder="1" applyAlignment="1" applyProtection="1">
      <alignment horizontal="left" vertical="center"/>
      <protection locked="0"/>
    </xf>
    <xf numFmtId="4" fontId="15" fillId="5" borderId="5" xfId="0" applyNumberFormat="1" applyFont="1" applyFill="1" applyBorder="1" applyAlignment="1" applyProtection="1">
      <alignment vertical="center"/>
      <protection locked="0"/>
    </xf>
    <xf numFmtId="0" fontId="15" fillId="3" borderId="38" xfId="0" applyFont="1" applyFill="1" applyBorder="1" applyAlignment="1" applyProtection="1">
      <alignment horizontal="center" vertical="center"/>
      <protection locked="0"/>
    </xf>
    <xf numFmtId="4" fontId="15" fillId="3" borderId="4" xfId="0" applyNumberFormat="1" applyFont="1" applyFill="1" applyBorder="1" applyAlignment="1" applyProtection="1">
      <alignment horizontal="center" vertical="center"/>
      <protection locked="0"/>
    </xf>
    <xf numFmtId="4" fontId="15" fillId="3" borderId="4" xfId="0" applyNumberFormat="1" applyFont="1" applyFill="1" applyBorder="1" applyAlignment="1" applyProtection="1">
      <alignment horizontal="right" vertical="center"/>
      <protection locked="0"/>
    </xf>
    <xf numFmtId="0" fontId="15" fillId="3" borderId="4" xfId="0" applyFont="1" applyFill="1" applyBorder="1" applyAlignment="1" applyProtection="1">
      <alignment horizontal="center" vertical="center"/>
      <protection locked="0"/>
    </xf>
    <xf numFmtId="168" fontId="15" fillId="3" borderId="39" xfId="4" applyNumberFormat="1" applyFont="1" applyFill="1" applyBorder="1" applyAlignment="1" applyProtection="1">
      <alignment horizontal="left" vertical="center"/>
      <protection locked="0"/>
    </xf>
    <xf numFmtId="0" fontId="15" fillId="3" borderId="40" xfId="0" applyFont="1" applyFill="1" applyBorder="1" applyAlignment="1" applyProtection="1">
      <alignment horizontal="center" vertical="center"/>
      <protection locked="0"/>
    </xf>
    <xf numFmtId="4" fontId="15" fillId="3" borderId="7" xfId="0" applyNumberFormat="1" applyFont="1" applyFill="1" applyBorder="1" applyAlignment="1" applyProtection="1">
      <alignment horizontal="center" vertical="center"/>
      <protection locked="0"/>
    </xf>
    <xf numFmtId="4" fontId="15" fillId="3" borderId="7" xfId="0" applyNumberFormat="1" applyFont="1" applyFill="1" applyBorder="1" applyAlignment="1" applyProtection="1">
      <alignment horizontal="right" vertical="center"/>
      <protection locked="0"/>
    </xf>
    <xf numFmtId="0" fontId="15" fillId="3" borderId="7" xfId="0" applyFont="1" applyFill="1" applyBorder="1" applyAlignment="1" applyProtection="1">
      <alignment horizontal="center" vertical="center"/>
      <protection locked="0"/>
    </xf>
    <xf numFmtId="0" fontId="15" fillId="3" borderId="41" xfId="0" applyFont="1" applyFill="1" applyBorder="1" applyAlignment="1" applyProtection="1">
      <alignment horizontal="center" vertical="center"/>
      <protection locked="0"/>
    </xf>
    <xf numFmtId="0" fontId="15" fillId="3" borderId="42" xfId="0" applyFont="1" applyFill="1" applyBorder="1" applyAlignment="1" applyProtection="1">
      <alignment horizontal="center" vertical="center"/>
      <protection locked="0"/>
    </xf>
    <xf numFmtId="4" fontId="15" fillId="3" borderId="0" xfId="0" applyNumberFormat="1" applyFont="1" applyFill="1" applyBorder="1" applyAlignment="1" applyProtection="1">
      <alignment horizontal="center" vertical="center"/>
      <protection locked="0"/>
    </xf>
    <xf numFmtId="4" fontId="15" fillId="3" borderId="10" xfId="0" applyNumberFormat="1" applyFont="1" applyFill="1" applyBorder="1" applyAlignment="1" applyProtection="1">
      <alignment horizontal="center" vertical="center"/>
      <protection locked="0"/>
    </xf>
    <xf numFmtId="4" fontId="13" fillId="5" borderId="43" xfId="0" applyNumberFormat="1" applyFont="1" applyFill="1" applyBorder="1" applyAlignment="1" applyProtection="1">
      <alignment horizontal="center" vertical="center"/>
      <protection locked="0"/>
    </xf>
    <xf numFmtId="4" fontId="13" fillId="0" borderId="5" xfId="1" applyNumberFormat="1" applyFont="1" applyBorder="1" applyAlignment="1" applyProtection="1">
      <alignment vertical="center"/>
    </xf>
    <xf numFmtId="0" fontId="0" fillId="3" borderId="44" xfId="0" applyFill="1" applyBorder="1" applyAlignment="1" applyProtection="1">
      <alignment horizontal="center" vertical="center"/>
      <protection locked="0"/>
    </xf>
    <xf numFmtId="4" fontId="0" fillId="3" borderId="45" xfId="0" applyNumberFormat="1" applyFill="1" applyBorder="1" applyAlignment="1" applyProtection="1">
      <alignment horizontal="center" vertical="center"/>
      <protection locked="0"/>
    </xf>
    <xf numFmtId="4" fontId="0" fillId="3" borderId="46" xfId="0" applyNumberFormat="1" applyFill="1" applyBorder="1" applyAlignment="1" applyProtection="1">
      <alignment horizontal="right" vertical="center"/>
      <protection locked="0"/>
    </xf>
    <xf numFmtId="0" fontId="0" fillId="3" borderId="46" xfId="0" applyFont="1" applyFill="1" applyBorder="1" applyAlignment="1" applyProtection="1">
      <alignment horizontal="center" vertical="center"/>
      <protection locked="0"/>
    </xf>
    <xf numFmtId="168" fontId="0" fillId="3" borderId="47" xfId="4" applyNumberFormat="1" applyFont="1" applyFill="1" applyBorder="1" applyAlignment="1" applyProtection="1">
      <alignment horizontal="left" vertical="center"/>
      <protection locked="0"/>
    </xf>
    <xf numFmtId="0" fontId="0" fillId="3" borderId="0" xfId="0" applyFill="1" applyBorder="1" applyAlignment="1" applyProtection="1">
      <alignment horizontal="center"/>
    </xf>
    <xf numFmtId="1" fontId="0" fillId="3" borderId="0" xfId="0" applyNumberFormat="1" applyFill="1" applyBorder="1" applyAlignment="1" applyProtection="1">
      <alignment horizontal="center"/>
    </xf>
    <xf numFmtId="0" fontId="0" fillId="3" borderId="0" xfId="0" applyFont="1" applyFill="1" applyBorder="1" applyAlignment="1" applyProtection="1">
      <alignment horizontal="left" vertical="center"/>
    </xf>
    <xf numFmtId="168" fontId="0" fillId="3" borderId="0" xfId="4" applyNumberFormat="1" applyFont="1" applyFill="1" applyBorder="1" applyAlignment="1" applyProtection="1">
      <alignment horizontal="right" vertical="center"/>
    </xf>
    <xf numFmtId="49" fontId="13" fillId="3" borderId="0" xfId="4" applyNumberFormat="1" applyFont="1" applyFill="1" applyBorder="1" applyAlignment="1" applyProtection="1">
      <alignment vertical="center"/>
    </xf>
    <xf numFmtId="49" fontId="13" fillId="3" borderId="19" xfId="4" applyNumberFormat="1" applyFont="1" applyFill="1" applyBorder="1" applyAlignment="1" applyProtection="1">
      <alignment vertical="center"/>
    </xf>
    <xf numFmtId="49" fontId="13" fillId="3" borderId="21" xfId="4" applyNumberFormat="1" applyFont="1" applyFill="1" applyBorder="1" applyAlignment="1" applyProtection="1">
      <alignment horizontal="right" vertical="center"/>
    </xf>
    <xf numFmtId="166" fontId="13" fillId="3" borderId="21" xfId="4" applyNumberFormat="1" applyFont="1" applyFill="1" applyBorder="1" applyAlignment="1" applyProtection="1">
      <alignment vertical="center"/>
    </xf>
    <xf numFmtId="4" fontId="13" fillId="3" borderId="22" xfId="4" applyNumberFormat="1" applyFont="1" applyFill="1" applyBorder="1" applyAlignment="1" applyProtection="1">
      <alignment vertical="center"/>
    </xf>
    <xf numFmtId="49" fontId="13" fillId="3" borderId="48" xfId="4" applyNumberFormat="1" applyFont="1" applyFill="1" applyBorder="1" applyAlignment="1" applyProtection="1">
      <alignment vertical="center"/>
    </xf>
    <xf numFmtId="49" fontId="13" fillId="3" borderId="46" xfId="4" applyNumberFormat="1" applyFont="1" applyFill="1" applyBorder="1" applyAlignment="1" applyProtection="1">
      <alignment horizontal="right" vertical="center"/>
    </xf>
    <xf numFmtId="166" fontId="13" fillId="3" borderId="46" xfId="4" applyNumberFormat="1" applyFont="1" applyFill="1" applyBorder="1" applyAlignment="1" applyProtection="1">
      <alignment vertical="center"/>
    </xf>
    <xf numFmtId="4" fontId="13" fillId="3" borderId="47" xfId="4" applyNumberFormat="1" applyFont="1" applyFill="1" applyBorder="1" applyAlignment="1" applyProtection="1">
      <alignment vertical="center"/>
    </xf>
    <xf numFmtId="49" fontId="13" fillId="3" borderId="49" xfId="4" applyNumberFormat="1" applyFont="1" applyFill="1" applyBorder="1" applyAlignment="1" applyProtection="1">
      <alignment vertical="center"/>
    </xf>
    <xf numFmtId="49" fontId="13" fillId="3" borderId="50" xfId="4" applyNumberFormat="1" applyFont="1" applyFill="1" applyBorder="1" applyAlignment="1" applyProtection="1">
      <alignment horizontal="right" vertical="center"/>
    </xf>
    <xf numFmtId="166" fontId="13" fillId="3" borderId="50" xfId="4" applyNumberFormat="1" applyFont="1" applyFill="1" applyBorder="1" applyAlignment="1" applyProtection="1">
      <alignment vertical="center"/>
    </xf>
    <xf numFmtId="0" fontId="13" fillId="3" borderId="27" xfId="4" applyNumberFormat="1" applyFont="1" applyFill="1" applyBorder="1" applyAlignment="1" applyProtection="1">
      <alignment vertical="center"/>
    </xf>
    <xf numFmtId="0" fontId="0" fillId="3" borderId="0" xfId="0" applyFill="1" applyProtection="1"/>
    <xf numFmtId="0" fontId="0" fillId="3" borderId="0" xfId="0" applyFont="1" applyFill="1" applyBorder="1" applyAlignment="1" applyProtection="1">
      <alignment horizontal="left"/>
    </xf>
    <xf numFmtId="2" fontId="0" fillId="3" borderId="0" xfId="0" applyNumberFormat="1" applyFill="1" applyBorder="1" applyAlignment="1" applyProtection="1">
      <alignment horizontal="center"/>
    </xf>
    <xf numFmtId="0" fontId="0" fillId="3" borderId="0" xfId="0" applyFill="1" applyBorder="1" applyProtection="1"/>
    <xf numFmtId="1" fontId="0" fillId="3" borderId="0" xfId="0" applyNumberFormat="1" applyFill="1" applyBorder="1" applyAlignment="1" applyProtection="1"/>
    <xf numFmtId="0" fontId="12" fillId="3" borderId="0" xfId="4" applyNumberFormat="1" applyFont="1" applyFill="1" applyBorder="1" applyAlignment="1" applyProtection="1">
      <alignment vertical="top"/>
    </xf>
    <xf numFmtId="0" fontId="16" fillId="3" borderId="0" xfId="4" applyNumberFormat="1" applyFont="1" applyFill="1" applyBorder="1" applyAlignment="1" applyProtection="1"/>
    <xf numFmtId="0" fontId="17" fillId="3" borderId="0" xfId="4" applyNumberFormat="1" applyFont="1" applyFill="1" applyBorder="1" applyAlignment="1" applyProtection="1">
      <alignment vertical="top"/>
    </xf>
    <xf numFmtId="0" fontId="18" fillId="3" borderId="0" xfId="4" applyNumberFormat="1" applyFont="1" applyFill="1" applyBorder="1" applyAlignment="1" applyProtection="1"/>
    <xf numFmtId="0" fontId="17" fillId="3" borderId="0" xfId="4" applyNumberFormat="1" applyFont="1" applyFill="1" applyAlignment="1" applyProtection="1">
      <alignment horizontal="center" vertical="top"/>
    </xf>
    <xf numFmtId="0" fontId="0" fillId="3" borderId="0" xfId="4" applyNumberFormat="1" applyFont="1" applyFill="1" applyAlignment="1" applyProtection="1">
      <alignment horizontal="center"/>
    </xf>
    <xf numFmtId="0" fontId="17" fillId="3" borderId="0" xfId="4" applyNumberFormat="1" applyFont="1" applyFill="1" applyAlignment="1" applyProtection="1">
      <alignment horizontal="center"/>
    </xf>
    <xf numFmtId="0" fontId="0" fillId="0" borderId="0" xfId="4" applyNumberFormat="1" applyFont="1" applyAlignment="1" applyProtection="1">
      <alignment vertical="center"/>
    </xf>
    <xf numFmtId="0" fontId="0" fillId="0" borderId="0" xfId="4" applyNumberFormat="1" applyFont="1" applyBorder="1" applyAlignment="1" applyProtection="1">
      <alignment vertical="center"/>
    </xf>
    <xf numFmtId="1" fontId="0" fillId="0" borderId="0" xfId="4" applyNumberFormat="1" applyFont="1" applyBorder="1" applyAlignment="1" applyProtection="1">
      <alignment horizontal="center" vertical="center"/>
    </xf>
    <xf numFmtId="0" fontId="0" fillId="0" borderId="0" xfId="4" applyNumberFormat="1" applyFont="1" applyBorder="1" applyAlignment="1" applyProtection="1">
      <alignment horizontal="left" vertical="center"/>
    </xf>
    <xf numFmtId="2" fontId="0" fillId="0" borderId="0" xfId="4" applyNumberFormat="1" applyFont="1" applyBorder="1" applyAlignment="1" applyProtection="1">
      <alignment vertical="center"/>
    </xf>
    <xf numFmtId="0" fontId="12" fillId="0" borderId="52" xfId="4" applyNumberFormat="1" applyFont="1" applyBorder="1" applyAlignment="1" applyProtection="1">
      <alignment horizontal="left" vertical="center"/>
    </xf>
    <xf numFmtId="2" fontId="12" fillId="0" borderId="21" xfId="4" applyNumberFormat="1" applyFont="1" applyBorder="1" applyAlignment="1" applyProtection="1">
      <alignment vertical="center"/>
    </xf>
    <xf numFmtId="0" fontId="12" fillId="0" borderId="22" xfId="4" applyNumberFormat="1" applyFont="1" applyBorder="1" applyAlignment="1" applyProtection="1">
      <alignment horizontal="left" vertical="center"/>
    </xf>
    <xf numFmtId="0" fontId="12" fillId="0" borderId="40" xfId="4" applyNumberFormat="1" applyFont="1" applyBorder="1" applyAlignment="1" applyProtection="1">
      <alignment vertical="center"/>
    </xf>
    <xf numFmtId="0" fontId="12" fillId="0" borderId="7" xfId="4" applyNumberFormat="1" applyFont="1" applyBorder="1" applyAlignment="1" applyProtection="1">
      <alignment vertical="center"/>
    </xf>
    <xf numFmtId="0" fontId="12" fillId="0" borderId="8" xfId="4" applyNumberFormat="1" applyFont="1" applyBorder="1" applyAlignment="1" applyProtection="1">
      <alignment vertical="center"/>
    </xf>
    <xf numFmtId="2" fontId="12" fillId="0" borderId="6" xfId="4" applyNumberFormat="1" applyFont="1" applyBorder="1" applyAlignment="1" applyProtection="1">
      <alignment vertical="center"/>
    </xf>
    <xf numFmtId="2" fontId="12" fillId="0" borderId="7" xfId="4" applyNumberFormat="1" applyFont="1" applyBorder="1" applyAlignment="1" applyProtection="1">
      <alignment vertical="center"/>
    </xf>
    <xf numFmtId="0" fontId="12" fillId="0" borderId="6" xfId="4" applyNumberFormat="1" applyFont="1" applyBorder="1" applyAlignment="1" applyProtection="1">
      <alignment vertical="center"/>
    </xf>
    <xf numFmtId="2" fontId="12" fillId="0" borderId="8" xfId="4" applyNumberFormat="1" applyFont="1" applyBorder="1" applyAlignment="1" applyProtection="1">
      <alignment vertical="center"/>
    </xf>
    <xf numFmtId="0" fontId="12" fillId="0" borderId="41" xfId="4" applyNumberFormat="1" applyFont="1" applyBorder="1" applyAlignment="1" applyProtection="1">
      <alignment vertical="center"/>
    </xf>
    <xf numFmtId="0" fontId="12" fillId="0" borderId="25" xfId="4" applyNumberFormat="1" applyFont="1" applyBorder="1" applyAlignment="1" applyProtection="1">
      <alignment horizontal="center" vertical="center"/>
    </xf>
    <xf numFmtId="0" fontId="12" fillId="0" borderId="26" xfId="4" applyNumberFormat="1" applyFont="1" applyBorder="1" applyAlignment="1" applyProtection="1">
      <alignment horizontal="center" vertical="center"/>
    </xf>
    <xf numFmtId="0" fontId="12" fillId="0" borderId="26" xfId="4" applyNumberFormat="1" applyFont="1" applyBorder="1" applyAlignment="1" applyProtection="1">
      <alignment horizontal="right" vertical="center"/>
    </xf>
    <xf numFmtId="2" fontId="12" fillId="0" borderId="9" xfId="4" applyNumberFormat="1" applyFont="1" applyBorder="1" applyAlignment="1" applyProtection="1">
      <alignment horizontal="center" vertical="center"/>
    </xf>
    <xf numFmtId="2" fontId="12" fillId="0" borderId="0" xfId="4" applyNumberFormat="1" applyFont="1" applyBorder="1" applyAlignment="1" applyProtection="1">
      <alignment vertical="center"/>
    </xf>
    <xf numFmtId="0" fontId="12" fillId="0" borderId="55" xfId="4" applyNumberFormat="1" applyFont="1" applyBorder="1" applyAlignment="1" applyProtection="1">
      <alignment vertical="center"/>
    </xf>
    <xf numFmtId="0" fontId="12" fillId="0" borderId="44" xfId="4" applyNumberFormat="1" applyFont="1" applyBorder="1" applyAlignment="1" applyProtection="1">
      <alignment horizontal="center" vertical="center"/>
    </xf>
    <xf numFmtId="0" fontId="12" fillId="0" borderId="45" xfId="4" applyNumberFormat="1" applyFont="1" applyBorder="1" applyAlignment="1" applyProtection="1">
      <alignment horizontal="center" vertical="center"/>
    </xf>
    <xf numFmtId="0" fontId="12" fillId="0" borderId="45" xfId="4" applyNumberFormat="1" applyFont="1" applyBorder="1" applyAlignment="1" applyProtection="1">
      <alignment horizontal="left" vertical="center"/>
    </xf>
    <xf numFmtId="0" fontId="19" fillId="0" borderId="56" xfId="4" applyNumberFormat="1" applyFont="1" applyBorder="1" applyAlignment="1" applyProtection="1">
      <alignment vertical="center"/>
    </xf>
    <xf numFmtId="0" fontId="19" fillId="0" borderId="26" xfId="4" applyNumberFormat="1" applyFont="1" applyBorder="1" applyAlignment="1" applyProtection="1">
      <alignment vertical="center"/>
    </xf>
    <xf numFmtId="0" fontId="19" fillId="0" borderId="57" xfId="4" applyNumberFormat="1" applyFont="1" applyBorder="1" applyAlignment="1" applyProtection="1">
      <alignment vertical="center"/>
    </xf>
    <xf numFmtId="0" fontId="19" fillId="0" borderId="62" xfId="4" applyNumberFormat="1" applyFont="1" applyBorder="1" applyAlignment="1" applyProtection="1">
      <alignment horizontal="center" vertical="center" wrapText="1"/>
    </xf>
    <xf numFmtId="0" fontId="19" fillId="0" borderId="62" xfId="4" applyNumberFormat="1" applyFont="1" applyBorder="1" applyAlignment="1" applyProtection="1">
      <alignment horizontal="center" vertical="center"/>
    </xf>
    <xf numFmtId="0" fontId="19" fillId="0" borderId="64" xfId="4" applyNumberFormat="1" applyFont="1" applyBorder="1" applyAlignment="1" applyProtection="1">
      <alignment horizontal="center" vertical="center"/>
    </xf>
    <xf numFmtId="169" fontId="0" fillId="0" borderId="19" xfId="4" applyNumberFormat="1" applyFont="1" applyBorder="1" applyAlignment="1" applyProtection="1">
      <alignment horizontal="center" vertical="center"/>
    </xf>
    <xf numFmtId="169" fontId="0" fillId="0" borderId="21" xfId="4" applyNumberFormat="1" applyFont="1" applyBorder="1" applyAlignment="1" applyProtection="1">
      <alignment horizontal="center" vertical="center"/>
    </xf>
    <xf numFmtId="170" fontId="0" fillId="0" borderId="21" xfId="4" applyNumberFormat="1" applyFont="1" applyBorder="1" applyAlignment="1" applyProtection="1">
      <alignment horizontal="center" vertical="center"/>
    </xf>
    <xf numFmtId="171" fontId="0" fillId="0" borderId="21" xfId="4" applyNumberFormat="1" applyFont="1" applyBorder="1" applyAlignment="1" applyProtection="1">
      <alignment horizontal="center" vertical="center"/>
    </xf>
    <xf numFmtId="0" fontId="0" fillId="0" borderId="21" xfId="4" applyNumberFormat="1" applyFont="1" applyBorder="1" applyAlignment="1" applyProtection="1">
      <alignment horizontal="justify" vertical="center" wrapText="1"/>
    </xf>
    <xf numFmtId="4" fontId="0" fillId="0" borderId="21" xfId="4" applyNumberFormat="1" applyFont="1" applyBorder="1" applyAlignment="1" applyProtection="1">
      <alignment horizontal="center" vertical="center"/>
    </xf>
    <xf numFmtId="4" fontId="0" fillId="0" borderId="21" xfId="4" applyNumberFormat="1" applyFont="1" applyBorder="1" applyAlignment="1" applyProtection="1">
      <alignment horizontal="right" vertical="center" wrapText="1"/>
    </xf>
    <xf numFmtId="0" fontId="0" fillId="0" borderId="21" xfId="4" applyNumberFormat="1" applyFont="1" applyBorder="1" applyAlignment="1" applyProtection="1">
      <alignment horizontal="center" vertical="center"/>
    </xf>
    <xf numFmtId="3" fontId="0" fillId="0" borderId="21" xfId="4" applyNumberFormat="1" applyFont="1" applyBorder="1" applyAlignment="1" applyProtection="1">
      <alignment horizontal="right" vertical="center"/>
    </xf>
    <xf numFmtId="3" fontId="0" fillId="0" borderId="22" xfId="4" applyNumberFormat="1" applyFont="1" applyBorder="1" applyAlignment="1" applyProtection="1">
      <alignment horizontal="right" vertical="center"/>
    </xf>
    <xf numFmtId="0" fontId="0" fillId="0" borderId="65" xfId="4" applyNumberFormat="1" applyFont="1" applyBorder="1" applyAlignment="1" applyProtection="1">
      <alignment horizontal="center" vertical="center"/>
      <protection locked="0"/>
    </xf>
    <xf numFmtId="4" fontId="0" fillId="0" borderId="66" xfId="4" applyNumberFormat="1" applyFont="1" applyBorder="1" applyAlignment="1" applyProtection="1">
      <alignment horizontal="center" vertical="center"/>
      <protection locked="0"/>
    </xf>
    <xf numFmtId="168" fontId="0" fillId="0" borderId="66" xfId="1" applyFont="1" applyBorder="1" applyAlignment="1" applyProtection="1">
      <alignment horizontal="center" vertical="center"/>
      <protection locked="0"/>
    </xf>
    <xf numFmtId="171" fontId="0" fillId="0" borderId="66" xfId="4" applyNumberFormat="1" applyFont="1" applyBorder="1" applyAlignment="1" applyProtection="1">
      <alignment horizontal="center" vertical="center"/>
      <protection locked="0"/>
    </xf>
    <xf numFmtId="171" fontId="20" fillId="0" borderId="66" xfId="4" applyNumberFormat="1" applyFont="1" applyBorder="1" applyAlignment="1" applyProtection="1">
      <alignment horizontal="right" vertical="center"/>
      <protection locked="0"/>
    </xf>
    <xf numFmtId="0" fontId="0" fillId="0" borderId="66" xfId="4" applyNumberFormat="1" applyFont="1" applyBorder="1" applyAlignment="1" applyProtection="1">
      <alignment horizontal="justify" vertical="center"/>
      <protection locked="0"/>
    </xf>
    <xf numFmtId="4" fontId="0" fillId="0" borderId="66" xfId="4" applyNumberFormat="1" applyFont="1" applyBorder="1" applyAlignment="1" applyProtection="1">
      <alignment horizontal="right" vertical="center" wrapText="1"/>
      <protection locked="0"/>
    </xf>
    <xf numFmtId="0" fontId="0" fillId="0" borderId="66" xfId="4" applyNumberFormat="1" applyFont="1" applyBorder="1" applyAlignment="1" applyProtection="1">
      <alignment horizontal="center" vertical="center"/>
      <protection locked="0"/>
    </xf>
    <xf numFmtId="4" fontId="0" fillId="0" borderId="66" xfId="4" applyNumberFormat="1" applyFont="1" applyBorder="1" applyAlignment="1" applyProtection="1">
      <alignment horizontal="right" vertical="center"/>
      <protection locked="0"/>
    </xf>
    <xf numFmtId="4" fontId="0" fillId="0" borderId="36" xfId="4" applyNumberFormat="1" applyFont="1" applyBorder="1" applyAlignment="1" applyProtection="1">
      <alignment horizontal="right" vertical="center"/>
      <protection locked="0"/>
    </xf>
    <xf numFmtId="4" fontId="0" fillId="5" borderId="32" xfId="0" applyNumberFormat="1" applyFont="1" applyFill="1" applyBorder="1" applyAlignment="1" applyProtection="1">
      <alignment horizontal="center" vertical="center"/>
      <protection locked="0"/>
    </xf>
    <xf numFmtId="171" fontId="0" fillId="2" borderId="32" xfId="4" applyNumberFormat="1" applyFont="1" applyFill="1" applyBorder="1" applyAlignment="1" applyProtection="1">
      <alignment horizontal="center" vertical="center"/>
      <protection locked="0"/>
    </xf>
    <xf numFmtId="171" fontId="0" fillId="5" borderId="32" xfId="0" applyNumberFormat="1" applyFont="1" applyFill="1" applyBorder="1" applyAlignment="1" applyProtection="1">
      <alignment vertical="center"/>
      <protection locked="0"/>
    </xf>
    <xf numFmtId="4" fontId="0" fillId="5" borderId="33" xfId="0" applyNumberFormat="1" applyFont="1" applyFill="1" applyBorder="1" applyAlignment="1" applyProtection="1">
      <alignment horizontal="center" vertical="center"/>
      <protection locked="0"/>
    </xf>
    <xf numFmtId="4" fontId="0" fillId="2" borderId="32" xfId="4" applyNumberFormat="1" applyFont="1" applyFill="1" applyBorder="1" applyAlignment="1" applyProtection="1">
      <alignment horizontal="right" vertical="center" wrapText="1"/>
      <protection locked="0"/>
    </xf>
    <xf numFmtId="4" fontId="0" fillId="5" borderId="32" xfId="4" applyNumberFormat="1" applyFont="1" applyFill="1" applyBorder="1" applyAlignment="1" applyProtection="1">
      <alignment horizontal="center" vertical="center"/>
      <protection locked="0"/>
    </xf>
    <xf numFmtId="0" fontId="0" fillId="5" borderId="67" xfId="4" applyNumberFormat="1" applyFont="1" applyFill="1" applyBorder="1" applyAlignment="1" applyProtection="1">
      <alignment horizontal="center" vertical="center"/>
      <protection locked="0"/>
    </xf>
    <xf numFmtId="4" fontId="0" fillId="2" borderId="32" xfId="4" applyNumberFormat="1" applyFont="1" applyFill="1" applyBorder="1" applyAlignment="1" applyProtection="1">
      <alignment horizontal="right" vertical="center"/>
      <protection locked="0"/>
    </xf>
    <xf numFmtId="4" fontId="0" fillId="2" borderId="36" xfId="4" applyNumberFormat="1" applyFont="1" applyFill="1" applyBorder="1" applyAlignment="1" applyProtection="1">
      <alignment horizontal="right" vertical="center"/>
      <protection locked="0"/>
    </xf>
    <xf numFmtId="0" fontId="0" fillId="5" borderId="67" xfId="0" applyFont="1" applyFill="1" applyBorder="1" applyAlignment="1" applyProtection="1">
      <alignment horizontal="center" vertical="center"/>
      <protection locked="0"/>
    </xf>
    <xf numFmtId="4" fontId="0" fillId="5" borderId="67" xfId="0" applyNumberFormat="1" applyFont="1" applyFill="1" applyBorder="1" applyAlignment="1" applyProtection="1">
      <alignment horizontal="center" vertical="center"/>
      <protection locked="0"/>
    </xf>
    <xf numFmtId="49" fontId="0" fillId="5" borderId="67" xfId="0" applyNumberFormat="1" applyFont="1" applyFill="1" applyBorder="1" applyAlignment="1" applyProtection="1">
      <alignment horizontal="center" vertical="center"/>
      <protection locked="0"/>
    </xf>
    <xf numFmtId="49" fontId="0" fillId="5" borderId="68" xfId="0" applyNumberFormat="1" applyFont="1" applyFill="1" applyBorder="1" applyAlignment="1" applyProtection="1">
      <alignment horizontal="center" vertical="center"/>
      <protection locked="0"/>
    </xf>
    <xf numFmtId="49" fontId="0" fillId="5" borderId="32" xfId="0" applyNumberFormat="1" applyFont="1" applyFill="1" applyBorder="1" applyAlignment="1" applyProtection="1">
      <alignment horizontal="center" vertical="center"/>
      <protection locked="0"/>
    </xf>
    <xf numFmtId="49" fontId="0" fillId="5" borderId="33" xfId="0" applyNumberFormat="1"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4" fontId="0" fillId="5" borderId="69" xfId="0" applyNumberFormat="1" applyFont="1" applyFill="1" applyBorder="1" applyAlignment="1" applyProtection="1">
      <alignment horizontal="center" vertical="center"/>
      <protection locked="0"/>
    </xf>
    <xf numFmtId="49" fontId="0" fillId="5" borderId="69" xfId="0" applyNumberFormat="1" applyFont="1" applyFill="1" applyBorder="1" applyAlignment="1" applyProtection="1">
      <alignment horizontal="center" vertical="center"/>
      <protection locked="0"/>
    </xf>
    <xf numFmtId="49" fontId="0" fillId="5" borderId="70" xfId="0" applyNumberFormat="1" applyFont="1" applyFill="1" applyBorder="1" applyAlignment="1" applyProtection="1">
      <alignment horizontal="center" vertical="center"/>
      <protection locked="0"/>
    </xf>
    <xf numFmtId="171" fontId="0" fillId="2" borderId="69" xfId="4" applyNumberFormat="1" applyFont="1" applyFill="1" applyBorder="1" applyAlignment="1" applyProtection="1">
      <alignment horizontal="center" vertical="center"/>
      <protection locked="0"/>
    </xf>
    <xf numFmtId="171" fontId="0" fillId="5" borderId="69" xfId="0" applyNumberFormat="1" applyFont="1" applyFill="1" applyBorder="1" applyAlignment="1" applyProtection="1">
      <alignment vertical="center"/>
      <protection locked="0"/>
    </xf>
    <xf numFmtId="0" fontId="0" fillId="5" borderId="69" xfId="0" applyFont="1" applyFill="1" applyBorder="1" applyAlignment="1" applyProtection="1">
      <alignment horizontal="justify" vertical="center" wrapText="1"/>
      <protection locked="0"/>
    </xf>
    <xf numFmtId="4" fontId="0" fillId="5" borderId="70" xfId="0" applyNumberFormat="1" applyFont="1" applyFill="1" applyBorder="1" applyAlignment="1" applyProtection="1">
      <alignment horizontal="center" vertical="center"/>
      <protection locked="0"/>
    </xf>
    <xf numFmtId="4" fontId="0" fillId="2" borderId="69" xfId="4" applyNumberFormat="1" applyFont="1" applyFill="1" applyBorder="1" applyAlignment="1" applyProtection="1">
      <alignment horizontal="right" vertical="center" wrapText="1"/>
      <protection locked="0"/>
    </xf>
    <xf numFmtId="4" fontId="0" fillId="5" borderId="69" xfId="4" applyNumberFormat="1" applyFont="1" applyFill="1" applyBorder="1" applyAlignment="1" applyProtection="1">
      <alignment horizontal="center" vertical="center"/>
      <protection locked="0"/>
    </xf>
    <xf numFmtId="0" fontId="0" fillId="5" borderId="69" xfId="4" applyNumberFormat="1" applyFont="1" applyFill="1" applyBorder="1" applyAlignment="1" applyProtection="1">
      <alignment horizontal="center" vertical="center"/>
      <protection locked="0"/>
    </xf>
    <xf numFmtId="4" fontId="0" fillId="2" borderId="69" xfId="4" applyNumberFormat="1" applyFont="1" applyFill="1" applyBorder="1" applyAlignment="1" applyProtection="1">
      <alignment horizontal="right" vertical="center"/>
      <protection locked="0"/>
    </xf>
    <xf numFmtId="4" fontId="0" fillId="2" borderId="71" xfId="4" applyNumberFormat="1" applyFont="1" applyFill="1" applyBorder="1" applyAlignment="1" applyProtection="1">
      <alignment horizontal="right" vertical="center"/>
      <protection locked="0"/>
    </xf>
    <xf numFmtId="49" fontId="0" fillId="5" borderId="67" xfId="1" applyNumberFormat="1" applyFont="1" applyFill="1" applyBorder="1" applyAlignment="1" applyProtection="1">
      <alignment horizontal="center" vertical="center"/>
      <protection locked="0"/>
    </xf>
    <xf numFmtId="0" fontId="0" fillId="5" borderId="67" xfId="0" applyFont="1" applyFill="1" applyBorder="1" applyAlignment="1" applyProtection="1">
      <alignment horizontal="justify" vertical="center" wrapText="1"/>
      <protection locked="0"/>
    </xf>
    <xf numFmtId="4" fontId="0" fillId="5" borderId="68" xfId="0" applyNumberFormat="1" applyFont="1" applyFill="1" applyBorder="1" applyAlignment="1" applyProtection="1">
      <alignment horizontal="center" vertical="center"/>
      <protection locked="0"/>
    </xf>
    <xf numFmtId="0" fontId="0" fillId="5" borderId="5" xfId="0" applyFont="1" applyFill="1" applyBorder="1" applyAlignment="1" applyProtection="1">
      <alignment horizontal="center" vertical="center"/>
      <protection locked="0"/>
    </xf>
    <xf numFmtId="4" fontId="0" fillId="5" borderId="5" xfId="0" applyNumberFormat="1" applyFont="1" applyFill="1" applyBorder="1" applyAlignment="1" applyProtection="1">
      <alignment horizontal="center" vertical="center"/>
      <protection locked="0"/>
    </xf>
    <xf numFmtId="49" fontId="0" fillId="5" borderId="5" xfId="1" applyNumberFormat="1" applyFont="1" applyFill="1" applyBorder="1" applyAlignment="1" applyProtection="1">
      <alignment horizontal="center" vertical="center"/>
      <protection locked="0"/>
    </xf>
    <xf numFmtId="171" fontId="0" fillId="2" borderId="5" xfId="4" applyNumberFormat="1" applyFont="1" applyFill="1" applyBorder="1" applyAlignment="1" applyProtection="1">
      <alignment horizontal="center" vertical="center"/>
      <protection locked="0"/>
    </xf>
    <xf numFmtId="171" fontId="20" fillId="5" borderId="5" xfId="4" applyNumberFormat="1" applyFont="1" applyFill="1" applyBorder="1" applyAlignment="1" applyProtection="1">
      <alignment horizontal="right" vertical="center"/>
      <protection locked="0"/>
    </xf>
    <xf numFmtId="0" fontId="0" fillId="5" borderId="5" xfId="0" applyFont="1" applyFill="1" applyBorder="1" applyAlignment="1" applyProtection="1">
      <alignment horizontal="justify" vertical="center" wrapText="1"/>
      <protection locked="0"/>
    </xf>
    <xf numFmtId="4" fontId="0" fillId="2" borderId="5" xfId="4" applyNumberFormat="1" applyFont="1" applyFill="1" applyBorder="1" applyAlignment="1" applyProtection="1">
      <alignment horizontal="right" vertical="center" wrapText="1"/>
      <protection locked="0"/>
    </xf>
    <xf numFmtId="4" fontId="0" fillId="5" borderId="5" xfId="4" applyNumberFormat="1" applyFont="1" applyFill="1" applyBorder="1" applyAlignment="1" applyProtection="1">
      <alignment horizontal="center" vertical="center"/>
      <protection locked="0"/>
    </xf>
    <xf numFmtId="0" fontId="0" fillId="5" borderId="5" xfId="4" applyNumberFormat="1" applyFont="1" applyFill="1" applyBorder="1" applyAlignment="1" applyProtection="1">
      <alignment horizontal="center" vertical="center"/>
      <protection locked="0"/>
    </xf>
    <xf numFmtId="4" fontId="0" fillId="2" borderId="5" xfId="4" applyNumberFormat="1" applyFont="1" applyFill="1" applyBorder="1" applyAlignment="1" applyProtection="1">
      <alignment horizontal="right" vertical="center"/>
      <protection locked="0"/>
    </xf>
    <xf numFmtId="4" fontId="0" fillId="2" borderId="24" xfId="4" applyNumberFormat="1" applyFont="1" applyFill="1" applyBorder="1" applyAlignment="1" applyProtection="1">
      <alignment horizontal="right" vertical="center"/>
      <protection locked="0"/>
    </xf>
    <xf numFmtId="171" fontId="21" fillId="5" borderId="5" xfId="4" applyNumberFormat="1" applyFont="1" applyFill="1" applyBorder="1" applyAlignment="1" applyProtection="1">
      <alignment horizontal="right" vertical="center"/>
      <protection locked="0"/>
    </xf>
    <xf numFmtId="0" fontId="22" fillId="5" borderId="5" xfId="0" applyFont="1" applyFill="1" applyBorder="1" applyAlignment="1" applyProtection="1">
      <alignment horizontal="justify" vertical="center" wrapText="1"/>
      <protection locked="0"/>
    </xf>
    <xf numFmtId="0" fontId="0" fillId="5" borderId="66" xfId="0" applyFont="1" applyFill="1" applyBorder="1" applyAlignment="1" applyProtection="1">
      <alignment horizontal="center" vertical="center"/>
      <protection locked="0"/>
    </xf>
    <xf numFmtId="4" fontId="0" fillId="5" borderId="66" xfId="0" applyNumberFormat="1" applyFont="1" applyFill="1" applyBorder="1" applyAlignment="1" applyProtection="1">
      <alignment horizontal="center" vertical="center"/>
      <protection locked="0"/>
    </xf>
    <xf numFmtId="49" fontId="0" fillId="5" borderId="66" xfId="1" applyNumberFormat="1" applyFont="1" applyFill="1" applyBorder="1" applyAlignment="1" applyProtection="1">
      <alignment horizontal="center" vertical="center"/>
      <protection locked="0"/>
    </xf>
    <xf numFmtId="171" fontId="0" fillId="2" borderId="66" xfId="4" applyNumberFormat="1" applyFont="1" applyFill="1" applyBorder="1" applyAlignment="1" applyProtection="1">
      <alignment horizontal="center" vertical="center"/>
      <protection locked="0"/>
    </xf>
    <xf numFmtId="171" fontId="0" fillId="5" borderId="66" xfId="0" applyNumberFormat="1" applyFont="1" applyFill="1" applyBorder="1" applyAlignment="1" applyProtection="1">
      <alignment vertical="center"/>
      <protection locked="0"/>
    </xf>
    <xf numFmtId="0" fontId="23" fillId="5" borderId="66" xfId="0" applyFont="1" applyFill="1" applyBorder="1" applyAlignment="1" applyProtection="1">
      <alignment horizontal="justify" vertical="center" wrapText="1"/>
      <protection locked="0"/>
    </xf>
    <xf numFmtId="4" fontId="0" fillId="2" borderId="66" xfId="4" applyNumberFormat="1" applyFont="1" applyFill="1" applyBorder="1" applyAlignment="1" applyProtection="1">
      <alignment horizontal="right" vertical="center" wrapText="1"/>
      <protection locked="0"/>
    </xf>
    <xf numFmtId="4" fontId="0" fillId="5" borderId="66" xfId="4" applyNumberFormat="1" applyFont="1" applyFill="1" applyBorder="1" applyAlignment="1" applyProtection="1">
      <alignment horizontal="center" vertical="center"/>
      <protection locked="0"/>
    </xf>
    <xf numFmtId="0" fontId="0" fillId="5" borderId="66" xfId="4" applyNumberFormat="1" applyFont="1" applyFill="1" applyBorder="1" applyAlignment="1" applyProtection="1">
      <alignment horizontal="center" vertical="center"/>
      <protection locked="0"/>
    </xf>
    <xf numFmtId="4" fontId="0" fillId="2" borderId="66" xfId="4" applyNumberFormat="1" applyFont="1" applyFill="1" applyBorder="1" applyAlignment="1" applyProtection="1">
      <alignment horizontal="right" vertical="center"/>
      <protection locked="0"/>
    </xf>
    <xf numFmtId="4" fontId="0" fillId="2" borderId="72" xfId="4" applyNumberFormat="1" applyFont="1" applyFill="1" applyBorder="1" applyAlignment="1" applyProtection="1">
      <alignment horizontal="right" vertical="center"/>
      <protection locked="0"/>
    </xf>
    <xf numFmtId="0" fontId="12" fillId="5" borderId="32" xfId="0" applyFont="1" applyFill="1" applyBorder="1" applyAlignment="1" applyProtection="1">
      <alignment horizontal="justify" vertical="center" wrapText="1"/>
      <protection locked="0"/>
    </xf>
    <xf numFmtId="171" fontId="20" fillId="5" borderId="32" xfId="4" applyNumberFormat="1" applyFont="1" applyFill="1" applyBorder="1" applyAlignment="1" applyProtection="1">
      <alignment horizontal="right" vertical="center"/>
      <protection locked="0"/>
    </xf>
    <xf numFmtId="0" fontId="0" fillId="5" borderId="73" xfId="0" applyFont="1" applyFill="1" applyBorder="1" applyAlignment="1" applyProtection="1">
      <alignment horizontal="center" vertical="center"/>
      <protection locked="0"/>
    </xf>
    <xf numFmtId="4" fontId="0" fillId="5" borderId="73" xfId="0" applyNumberFormat="1" applyFont="1" applyFill="1" applyBorder="1" applyAlignment="1" applyProtection="1">
      <alignment horizontal="center" vertical="center"/>
      <protection locked="0"/>
    </xf>
    <xf numFmtId="49" fontId="0" fillId="5" borderId="73" xfId="1" applyNumberFormat="1" applyFont="1" applyFill="1" applyBorder="1" applyAlignment="1" applyProtection="1">
      <alignment horizontal="center" vertical="center"/>
      <protection locked="0"/>
    </xf>
    <xf numFmtId="171" fontId="0" fillId="2" borderId="73" xfId="4" applyNumberFormat="1" applyFont="1" applyFill="1" applyBorder="1" applyAlignment="1" applyProtection="1">
      <alignment horizontal="center" vertical="center"/>
      <protection locked="0"/>
    </xf>
    <xf numFmtId="171" fontId="24" fillId="5" borderId="73" xfId="4" applyNumberFormat="1" applyFont="1" applyFill="1" applyBorder="1" applyAlignment="1" applyProtection="1">
      <alignment horizontal="right" vertical="center"/>
      <protection locked="0"/>
    </xf>
    <xf numFmtId="0" fontId="23" fillId="5" borderId="73" xfId="0" applyFont="1" applyFill="1" applyBorder="1" applyAlignment="1" applyProtection="1">
      <alignment horizontal="justify" vertical="center" wrapText="1"/>
      <protection locked="0"/>
    </xf>
    <xf numFmtId="4" fontId="0" fillId="5" borderId="74" xfId="0" applyNumberFormat="1" applyFont="1" applyFill="1" applyBorder="1" applyAlignment="1" applyProtection="1">
      <alignment horizontal="center" vertical="center"/>
      <protection locked="0"/>
    </xf>
    <xf numFmtId="4" fontId="0" fillId="5" borderId="73" xfId="4" applyNumberFormat="1" applyFont="1" applyFill="1" applyBorder="1" applyAlignment="1" applyProtection="1">
      <alignment horizontal="center" vertical="center"/>
      <protection locked="0"/>
    </xf>
    <xf numFmtId="0" fontId="0" fillId="5" borderId="73" xfId="4" applyNumberFormat="1" applyFont="1" applyFill="1" applyBorder="1" applyAlignment="1" applyProtection="1">
      <alignment horizontal="center" vertical="center"/>
      <protection locked="0"/>
    </xf>
    <xf numFmtId="4" fontId="0" fillId="2" borderId="73" xfId="4" applyNumberFormat="1" applyFont="1" applyFill="1" applyBorder="1" applyAlignment="1" applyProtection="1">
      <alignment horizontal="right" vertical="center"/>
      <protection locked="0"/>
    </xf>
    <xf numFmtId="4" fontId="0" fillId="2" borderId="75" xfId="4" applyNumberFormat="1" applyFont="1" applyFill="1" applyBorder="1" applyAlignment="1" applyProtection="1">
      <alignment horizontal="right" vertical="center"/>
      <protection locked="0"/>
    </xf>
    <xf numFmtId="0" fontId="0" fillId="5" borderId="76" xfId="4" applyNumberFormat="1" applyFont="1" applyFill="1" applyBorder="1" applyAlignment="1" applyProtection="1">
      <alignment horizontal="center" vertical="center"/>
      <protection locked="0"/>
    </xf>
    <xf numFmtId="4" fontId="0" fillId="5" borderId="67" xfId="4" applyNumberFormat="1" applyFont="1" applyFill="1" applyBorder="1" applyAlignment="1" applyProtection="1">
      <alignment horizontal="center" vertical="center"/>
      <protection locked="0"/>
    </xf>
    <xf numFmtId="171" fontId="20" fillId="5" borderId="67" xfId="4" applyNumberFormat="1" applyFont="1" applyFill="1" applyBorder="1" applyAlignment="1" applyProtection="1">
      <alignment horizontal="right" vertical="center"/>
      <protection locked="0"/>
    </xf>
    <xf numFmtId="0" fontId="0" fillId="5" borderId="67" xfId="4" applyNumberFormat="1" applyFont="1" applyFill="1" applyBorder="1" applyAlignment="1" applyProtection="1">
      <alignment horizontal="justify" vertical="center" wrapText="1"/>
      <protection locked="0"/>
    </xf>
    <xf numFmtId="4" fontId="0" fillId="2" borderId="67" xfId="4" applyNumberFormat="1" applyFont="1" applyFill="1" applyBorder="1" applyAlignment="1" applyProtection="1">
      <alignment horizontal="right" vertical="center"/>
      <protection locked="0"/>
    </xf>
    <xf numFmtId="4" fontId="0" fillId="2" borderId="77" xfId="4" applyNumberFormat="1" applyFont="1" applyFill="1" applyBorder="1" applyAlignment="1" applyProtection="1">
      <alignment horizontal="right" vertical="center"/>
      <protection locked="0"/>
    </xf>
    <xf numFmtId="0" fontId="0" fillId="5" borderId="78" xfId="4" applyNumberFormat="1" applyFont="1" applyFill="1" applyBorder="1" applyAlignment="1" applyProtection="1">
      <alignment horizontal="center" vertical="center"/>
      <protection locked="0"/>
    </xf>
    <xf numFmtId="0" fontId="0" fillId="5" borderId="32" xfId="4" applyNumberFormat="1" applyFont="1" applyFill="1" applyBorder="1" applyAlignment="1" applyProtection="1">
      <alignment horizontal="justify" vertical="center" wrapText="1"/>
      <protection locked="0"/>
    </xf>
    <xf numFmtId="4" fontId="0" fillId="5" borderId="79" xfId="4" applyNumberFormat="1" applyFont="1" applyFill="1" applyBorder="1" applyAlignment="1" applyProtection="1">
      <alignment horizontal="center" vertical="center"/>
      <protection locked="0"/>
    </xf>
    <xf numFmtId="0" fontId="12" fillId="0" borderId="25" xfId="4" applyNumberFormat="1" applyFont="1" applyBorder="1" applyAlignment="1" applyProtection="1"/>
    <xf numFmtId="0" fontId="12" fillId="0" borderId="26" xfId="4" applyNumberFormat="1" applyFont="1" applyBorder="1" applyAlignment="1" applyProtection="1">
      <alignment vertical="center" wrapText="1"/>
    </xf>
    <xf numFmtId="4" fontId="0" fillId="3" borderId="80" xfId="4" applyNumberFormat="1" applyFont="1" applyFill="1" applyBorder="1" applyAlignment="1" applyProtection="1">
      <alignment horizontal="center" vertical="center"/>
    </xf>
    <xf numFmtId="4" fontId="0" fillId="3" borderId="56" xfId="4" applyNumberFormat="1" applyFont="1" applyFill="1" applyBorder="1" applyAlignment="1" applyProtection="1">
      <alignment vertical="center"/>
    </xf>
    <xf numFmtId="4" fontId="0" fillId="3" borderId="81" xfId="4" applyNumberFormat="1" applyFont="1" applyFill="1" applyBorder="1" applyAlignment="1" applyProtection="1">
      <alignment vertical="center"/>
    </xf>
    <xf numFmtId="4" fontId="12" fillId="3" borderId="13" xfId="4" applyNumberFormat="1" applyFont="1" applyFill="1" applyBorder="1" applyAlignment="1" applyProtection="1">
      <alignment horizontal="right" vertical="center"/>
    </xf>
    <xf numFmtId="0" fontId="0" fillId="3" borderId="26" xfId="4" applyNumberFormat="1" applyFont="1" applyFill="1" applyBorder="1" applyAlignment="1" applyProtection="1">
      <alignment vertical="center"/>
    </xf>
    <xf numFmtId="0" fontId="0" fillId="3" borderId="26" xfId="4" applyNumberFormat="1" applyFont="1" applyFill="1" applyBorder="1" applyAlignment="1" applyProtection="1">
      <alignment horizontal="center" vertical="center"/>
    </xf>
    <xf numFmtId="4" fontId="0" fillId="3" borderId="28" xfId="4" applyNumberFormat="1" applyFont="1" applyFill="1" applyBorder="1" applyAlignment="1" applyProtection="1">
      <alignment horizontal="right" vertical="center"/>
    </xf>
    <xf numFmtId="165" fontId="12" fillId="3" borderId="17" xfId="4" applyNumberFormat="1" applyFont="1" applyFill="1" applyBorder="1" applyAlignment="1" applyProtection="1">
      <alignment horizontal="right" vertical="center"/>
    </xf>
    <xf numFmtId="165" fontId="12" fillId="3" borderId="59" xfId="4" applyNumberFormat="1" applyFont="1" applyFill="1" applyBorder="1" applyAlignment="1" applyProtection="1">
      <alignment horizontal="right" vertical="center"/>
    </xf>
    <xf numFmtId="165" fontId="12" fillId="3" borderId="16" xfId="4" applyNumberFormat="1" applyFont="1" applyFill="1" applyBorder="1" applyAlignment="1" applyProtection="1">
      <alignment horizontal="right" vertical="center"/>
    </xf>
    <xf numFmtId="0" fontId="0" fillId="5" borderId="42" xfId="4" applyNumberFormat="1" applyFont="1" applyFill="1" applyBorder="1" applyAlignment="1" applyProtection="1">
      <alignment vertical="top"/>
      <protection locked="0"/>
    </xf>
    <xf numFmtId="0" fontId="0" fillId="5" borderId="0" xfId="4" applyNumberFormat="1" applyFont="1" applyFill="1" applyBorder="1" applyAlignment="1" applyProtection="1">
      <alignment vertical="top"/>
      <protection locked="0"/>
    </xf>
    <xf numFmtId="4" fontId="0" fillId="3" borderId="78" xfId="4" applyNumberFormat="1" applyFont="1" applyFill="1" applyBorder="1" applyAlignment="1" applyProtection="1">
      <alignment horizontal="center" vertical="center"/>
    </xf>
    <xf numFmtId="4" fontId="0" fillId="3" borderId="32" xfId="4" applyNumberFormat="1" applyFont="1" applyFill="1" applyBorder="1" applyAlignment="1" applyProtection="1">
      <alignment vertical="center"/>
    </xf>
    <xf numFmtId="4" fontId="0" fillId="3" borderId="36" xfId="4" applyNumberFormat="1" applyFont="1" applyFill="1" applyBorder="1" applyAlignment="1" applyProtection="1">
      <alignment vertical="center"/>
    </xf>
    <xf numFmtId="4" fontId="0" fillId="3" borderId="42" xfId="4" applyNumberFormat="1" applyFont="1" applyFill="1" applyBorder="1" applyAlignment="1" applyProtection="1">
      <alignment vertical="center"/>
    </xf>
    <xf numFmtId="0" fontId="0" fillId="3" borderId="0" xfId="4" applyNumberFormat="1" applyFont="1" applyFill="1" applyBorder="1" applyAlignment="1" applyProtection="1">
      <alignment vertical="center"/>
    </xf>
    <xf numFmtId="0" fontId="0" fillId="3" borderId="0" xfId="4" applyNumberFormat="1" applyFont="1" applyFill="1" applyBorder="1" applyAlignment="1" applyProtection="1">
      <alignment horizontal="center" vertical="center"/>
    </xf>
    <xf numFmtId="4" fontId="0" fillId="3" borderId="0" xfId="4" applyNumberFormat="1" applyFont="1" applyFill="1" applyBorder="1" applyAlignment="1" applyProtection="1">
      <alignment horizontal="right" vertical="center"/>
    </xf>
    <xf numFmtId="172" fontId="0" fillId="3" borderId="0" xfId="4" applyNumberFormat="1" applyFont="1" applyFill="1" applyBorder="1" applyAlignment="1" applyProtection="1">
      <alignment vertical="center"/>
    </xf>
    <xf numFmtId="165" fontId="0" fillId="3" borderId="0" xfId="4" applyNumberFormat="1" applyFont="1" applyFill="1" applyBorder="1" applyAlignment="1" applyProtection="1">
      <alignment vertical="center"/>
    </xf>
    <xf numFmtId="165" fontId="0" fillId="3" borderId="28" xfId="4" applyNumberFormat="1" applyFont="1" applyFill="1" applyBorder="1" applyAlignment="1" applyProtection="1">
      <alignment vertical="center"/>
    </xf>
    <xf numFmtId="0" fontId="0" fillId="5" borderId="55" xfId="4" applyNumberFormat="1" applyFont="1" applyFill="1" applyBorder="1" applyAlignment="1" applyProtection="1">
      <alignment vertical="top"/>
      <protection locked="0"/>
    </xf>
    <xf numFmtId="165" fontId="0" fillId="3" borderId="55" xfId="4" applyNumberFormat="1" applyFont="1" applyFill="1" applyBorder="1" applyAlignment="1" applyProtection="1">
      <alignment vertical="center"/>
    </xf>
    <xf numFmtId="0" fontId="25" fillId="3" borderId="0" xfId="4" applyNumberFormat="1" applyFont="1" applyFill="1" applyBorder="1" applyAlignment="1" applyProtection="1">
      <alignment vertical="center"/>
    </xf>
    <xf numFmtId="0" fontId="0" fillId="3" borderId="80" xfId="4" applyNumberFormat="1" applyFont="1" applyFill="1" applyBorder="1" applyAlignment="1" applyProtection="1">
      <alignment horizontal="center" vertical="center"/>
    </xf>
    <xf numFmtId="4" fontId="0" fillId="3" borderId="81" xfId="4" applyNumberFormat="1" applyFont="1" applyFill="1" applyBorder="1" applyAlignment="1" applyProtection="1">
      <alignment horizontal="right" vertical="center"/>
    </xf>
    <xf numFmtId="0" fontId="0" fillId="3" borderId="78" xfId="4" applyNumberFormat="1" applyFont="1" applyFill="1" applyBorder="1" applyAlignment="1" applyProtection="1">
      <alignment horizontal="center" vertical="center"/>
    </xf>
    <xf numFmtId="4" fontId="0" fillId="3" borderId="36" xfId="4" applyNumberFormat="1" applyFont="1" applyFill="1" applyBorder="1" applyAlignment="1" applyProtection="1">
      <alignment horizontal="right" vertical="center"/>
    </xf>
    <xf numFmtId="0" fontId="0" fillId="3" borderId="44" xfId="4" applyNumberFormat="1" applyFont="1" applyFill="1" applyBorder="1" applyAlignment="1" applyProtection="1">
      <alignment vertical="top"/>
    </xf>
    <xf numFmtId="0" fontId="0" fillId="3" borderId="45" xfId="4" applyNumberFormat="1" applyFont="1" applyFill="1" applyBorder="1" applyAlignment="1" applyProtection="1">
      <alignment vertical="top"/>
    </xf>
    <xf numFmtId="0" fontId="0" fillId="3" borderId="84" xfId="4" applyNumberFormat="1" applyFont="1" applyFill="1" applyBorder="1" applyAlignment="1" applyProtection="1">
      <alignment vertical="top"/>
    </xf>
    <xf numFmtId="0" fontId="0" fillId="3" borderId="0" xfId="4" applyNumberFormat="1" applyFont="1" applyFill="1" applyBorder="1" applyAlignment="1" applyProtection="1">
      <alignment vertical="top"/>
    </xf>
    <xf numFmtId="4" fontId="0" fillId="3" borderId="85" xfId="4" applyNumberFormat="1" applyFont="1" applyFill="1" applyBorder="1" applyAlignment="1" applyProtection="1">
      <alignment vertical="center"/>
    </xf>
    <xf numFmtId="0" fontId="26" fillId="3" borderId="0" xfId="4" applyNumberFormat="1" applyFont="1" applyFill="1" applyBorder="1" applyAlignment="1" applyProtection="1">
      <alignment vertical="center"/>
    </xf>
    <xf numFmtId="0" fontId="20" fillId="3" borderId="0" xfId="4" applyNumberFormat="1" applyFont="1" applyFill="1" applyBorder="1" applyAlignment="1" applyProtection="1">
      <alignment horizontal="center" vertical="center"/>
    </xf>
    <xf numFmtId="0" fontId="5" fillId="3" borderId="0" xfId="4" applyNumberFormat="1" applyFont="1" applyFill="1" applyBorder="1" applyAlignment="1" applyProtection="1">
      <alignment vertical="center"/>
    </xf>
    <xf numFmtId="0" fontId="0" fillId="3" borderId="19" xfId="4" applyNumberFormat="1" applyFont="1" applyFill="1" applyBorder="1" applyAlignment="1" applyProtection="1">
      <alignment vertical="center"/>
    </xf>
    <xf numFmtId="0" fontId="0" fillId="3" borderId="21" xfId="4" applyNumberFormat="1" applyFont="1" applyFill="1" applyBorder="1" applyAlignment="1" applyProtection="1">
      <alignment vertical="center"/>
    </xf>
    <xf numFmtId="0" fontId="12" fillId="0" borderId="21" xfId="4" applyNumberFormat="1" applyFont="1" applyBorder="1" applyAlignment="1" applyProtection="1">
      <alignment horizontal="right" vertical="center"/>
    </xf>
    <xf numFmtId="168" fontId="12" fillId="5" borderId="21" xfId="1" applyFont="1" applyFill="1" applyBorder="1" applyAlignment="1" applyProtection="1">
      <alignment vertical="center"/>
      <protection locked="0"/>
    </xf>
    <xf numFmtId="0" fontId="27" fillId="3" borderId="22" xfId="4" applyNumberFormat="1" applyFont="1" applyFill="1" applyBorder="1" applyAlignment="1" applyProtection="1">
      <alignment horizontal="center" vertical="center"/>
    </xf>
    <xf numFmtId="0" fontId="0" fillId="3" borderId="86" xfId="4" applyNumberFormat="1" applyFont="1" applyFill="1" applyBorder="1" applyAlignment="1" applyProtection="1">
      <alignment horizontal="center" vertical="center"/>
    </xf>
    <xf numFmtId="4" fontId="0" fillId="3" borderId="87" xfId="4" applyNumberFormat="1" applyFont="1" applyFill="1" applyBorder="1" applyAlignment="1" applyProtection="1">
      <alignment horizontal="right" vertical="center"/>
    </xf>
    <xf numFmtId="0" fontId="0" fillId="3" borderId="38" xfId="4" applyNumberFormat="1" applyFont="1" applyFill="1" applyBorder="1" applyAlignment="1" applyProtection="1">
      <alignment vertical="center"/>
    </xf>
    <xf numFmtId="0" fontId="0" fillId="3" borderId="4" xfId="4" applyNumberFormat="1" applyFont="1" applyFill="1" applyBorder="1" applyAlignment="1" applyProtection="1">
      <alignment vertical="center"/>
    </xf>
    <xf numFmtId="0" fontId="12" fillId="0" borderId="4" xfId="4" applyNumberFormat="1" applyFont="1" applyBorder="1" applyAlignment="1" applyProtection="1">
      <alignment horizontal="right" vertical="center"/>
    </xf>
    <xf numFmtId="168" fontId="12" fillId="5" borderId="4" xfId="1" applyFont="1" applyFill="1" applyBorder="1" applyAlignment="1" applyProtection="1">
      <alignment vertical="center"/>
      <protection locked="0"/>
    </xf>
    <xf numFmtId="0" fontId="27" fillId="3" borderId="39" xfId="4" applyNumberFormat="1" applyFont="1" applyFill="1" applyBorder="1" applyAlignment="1" applyProtection="1">
      <alignment horizontal="center" vertical="center"/>
    </xf>
    <xf numFmtId="4" fontId="0" fillId="3" borderId="0" xfId="4" applyNumberFormat="1" applyFont="1" applyFill="1" applyBorder="1" applyAlignment="1" applyProtection="1">
      <alignment horizontal="right" vertical="center"/>
    </xf>
    <xf numFmtId="0" fontId="0" fillId="3" borderId="48" xfId="4" applyNumberFormat="1" applyFont="1" applyFill="1" applyBorder="1" applyAlignment="1" applyProtection="1">
      <alignment vertical="center"/>
    </xf>
    <xf numFmtId="0" fontId="0" fillId="3" borderId="46" xfId="4" applyNumberFormat="1" applyFont="1" applyFill="1" applyBorder="1" applyAlignment="1" applyProtection="1">
      <alignment vertical="center"/>
    </xf>
    <xf numFmtId="0" fontId="12" fillId="0" borderId="45" xfId="4" applyNumberFormat="1" applyFont="1" applyBorder="1" applyAlignment="1" applyProtection="1">
      <alignment horizontal="right" vertical="center"/>
    </xf>
    <xf numFmtId="168" fontId="12" fillId="5" borderId="46" xfId="1" applyFont="1" applyFill="1" applyBorder="1" applyAlignment="1" applyProtection="1">
      <alignment vertical="center"/>
      <protection locked="0"/>
    </xf>
    <xf numFmtId="0" fontId="27" fillId="3" borderId="47" xfId="4" applyNumberFormat="1" applyFont="1" applyFill="1" applyBorder="1" applyAlignment="1" applyProtection="1">
      <alignment horizontal="center" vertical="center"/>
    </xf>
    <xf numFmtId="0" fontId="26" fillId="3" borderId="0" xfId="4" applyNumberFormat="1" applyFont="1" applyFill="1" applyBorder="1" applyAlignment="1" applyProtection="1">
      <alignment horizontal="center" vertical="center"/>
    </xf>
    <xf numFmtId="4" fontId="0" fillId="3" borderId="88" xfId="4" applyNumberFormat="1" applyFont="1" applyFill="1" applyBorder="1" applyAlignment="1" applyProtection="1">
      <alignment horizontal="center" vertical="center"/>
    </xf>
    <xf numFmtId="0" fontId="12" fillId="3" borderId="21" xfId="4" applyNumberFormat="1" applyFont="1" applyFill="1" applyBorder="1" applyAlignment="1" applyProtection="1">
      <alignment horizontal="right" vertical="center"/>
    </xf>
    <xf numFmtId="168" fontId="12" fillId="0" borderId="21" xfId="1" applyFont="1" applyBorder="1" applyAlignment="1" applyProtection="1">
      <alignment horizontal="center" vertical="center"/>
    </xf>
    <xf numFmtId="0" fontId="12" fillId="3" borderId="22" xfId="4" applyNumberFormat="1" applyFont="1" applyFill="1" applyBorder="1" applyAlignment="1" applyProtection="1">
      <alignment horizontal="left" vertical="center"/>
    </xf>
    <xf numFmtId="0" fontId="12" fillId="3" borderId="4" xfId="4" applyNumberFormat="1" applyFont="1" applyFill="1" applyBorder="1" applyAlignment="1" applyProtection="1">
      <alignment horizontal="right" vertical="center"/>
    </xf>
    <xf numFmtId="0" fontId="12" fillId="3" borderId="39" xfId="4" applyNumberFormat="1" applyFont="1" applyFill="1" applyBorder="1" applyAlignment="1" applyProtection="1">
      <alignment horizontal="left" vertical="center"/>
    </xf>
    <xf numFmtId="4" fontId="0" fillId="3" borderId="86" xfId="4" applyNumberFormat="1" applyFont="1" applyFill="1" applyBorder="1" applyAlignment="1" applyProtection="1">
      <alignment horizontal="center" vertical="center"/>
    </xf>
    <xf numFmtId="4" fontId="0" fillId="3" borderId="79" xfId="4" applyNumberFormat="1" applyFont="1" applyFill="1" applyBorder="1" applyAlignment="1" applyProtection="1">
      <alignment vertical="center"/>
    </xf>
    <xf numFmtId="4" fontId="0" fillId="3" borderId="87" xfId="4" applyNumberFormat="1" applyFont="1" applyFill="1" applyBorder="1" applyAlignment="1" applyProtection="1">
      <alignment vertical="center"/>
    </xf>
    <xf numFmtId="4" fontId="0" fillId="3" borderId="44" xfId="4" applyNumberFormat="1" applyFont="1" applyFill="1" applyBorder="1" applyAlignment="1" applyProtection="1">
      <alignment vertical="center"/>
    </xf>
    <xf numFmtId="0" fontId="0" fillId="3" borderId="45" xfId="4" applyNumberFormat="1" applyFont="1" applyFill="1" applyBorder="1" applyAlignment="1" applyProtection="1">
      <alignment vertical="center"/>
    </xf>
    <xf numFmtId="0" fontId="0" fillId="3" borderId="45" xfId="4" applyNumberFormat="1" applyFont="1" applyFill="1" applyBorder="1" applyAlignment="1" applyProtection="1">
      <alignment horizontal="center" vertical="center"/>
    </xf>
    <xf numFmtId="172" fontId="0" fillId="3" borderId="45" xfId="4" applyNumberFormat="1" applyFont="1" applyFill="1" applyBorder="1" applyAlignment="1" applyProtection="1">
      <alignment horizontal="center" vertical="center"/>
    </xf>
    <xf numFmtId="172" fontId="0" fillId="3" borderId="45" xfId="4" applyNumberFormat="1" applyFont="1" applyFill="1" applyBorder="1" applyAlignment="1" applyProtection="1">
      <alignment vertical="center"/>
    </xf>
    <xf numFmtId="165" fontId="0" fillId="3" borderId="45" xfId="4" applyNumberFormat="1" applyFont="1" applyFill="1" applyBorder="1" applyAlignment="1" applyProtection="1">
      <alignment vertical="center"/>
    </xf>
    <xf numFmtId="165" fontId="0" fillId="3" borderId="84" xfId="4" applyNumberFormat="1" applyFont="1" applyFill="1" applyBorder="1" applyAlignment="1" applyProtection="1">
      <alignment vertical="center"/>
    </xf>
    <xf numFmtId="173" fontId="12" fillId="0" borderId="4" xfId="1" applyNumberFormat="1" applyFont="1" applyBorder="1" applyAlignment="1" applyProtection="1">
      <alignment vertical="center"/>
    </xf>
    <xf numFmtId="0" fontId="0" fillId="3" borderId="0" xfId="4" applyNumberFormat="1" applyFont="1" applyFill="1" applyAlignment="1" applyProtection="1">
      <alignment vertical="center"/>
    </xf>
    <xf numFmtId="165" fontId="12" fillId="0" borderId="4" xfId="1" applyNumberFormat="1" applyFont="1" applyBorder="1" applyAlignment="1" applyProtection="1">
      <alignment vertical="center"/>
    </xf>
    <xf numFmtId="0" fontId="5" fillId="3" borderId="0" xfId="4" applyNumberFormat="1" applyFont="1" applyFill="1" applyAlignment="1" applyProtection="1"/>
    <xf numFmtId="0" fontId="12" fillId="3" borderId="46" xfId="4" applyNumberFormat="1" applyFont="1" applyFill="1" applyBorder="1" applyAlignment="1" applyProtection="1">
      <alignment horizontal="right" vertical="center"/>
    </xf>
    <xf numFmtId="1" fontId="12" fillId="5" borderId="46" xfId="4" applyNumberFormat="1" applyFont="1" applyFill="1" applyBorder="1" applyAlignment="1" applyProtection="1">
      <alignment horizontal="center" vertical="center"/>
      <protection locked="0"/>
    </xf>
    <xf numFmtId="2" fontId="29" fillId="3" borderId="47" xfId="4" applyNumberFormat="1" applyFont="1" applyFill="1" applyBorder="1" applyAlignment="1" applyProtection="1">
      <alignment horizontal="left" vertical="center"/>
    </xf>
    <xf numFmtId="0" fontId="0" fillId="3" borderId="49" xfId="4" applyNumberFormat="1" applyFont="1" applyFill="1" applyBorder="1" applyAlignment="1" applyProtection="1">
      <alignment vertical="center"/>
    </xf>
    <xf numFmtId="0" fontId="0" fillId="3" borderId="50" xfId="4" applyNumberFormat="1" applyFont="1" applyFill="1" applyBorder="1" applyAlignment="1" applyProtection="1">
      <alignment vertical="center"/>
    </xf>
    <xf numFmtId="0" fontId="12" fillId="3" borderId="50" xfId="4" applyNumberFormat="1" applyFont="1" applyFill="1" applyBorder="1" applyAlignment="1" applyProtection="1">
      <alignment horizontal="right" vertical="center"/>
    </xf>
    <xf numFmtId="172" fontId="12" fillId="5" borderId="50" xfId="1" applyNumberFormat="1" applyFont="1" applyFill="1" applyBorder="1" applyAlignment="1" applyProtection="1">
      <alignment vertical="center"/>
      <protection locked="0"/>
    </xf>
    <xf numFmtId="0" fontId="12" fillId="0" borderId="27" xfId="4" applyNumberFormat="1" applyFont="1" applyBorder="1" applyAlignment="1" applyProtection="1">
      <alignment vertical="center"/>
    </xf>
    <xf numFmtId="0" fontId="30" fillId="3" borderId="42" xfId="4" applyNumberFormat="1" applyFont="1" applyFill="1" applyBorder="1" applyAlignment="1" applyProtection="1">
      <alignment vertical="center" wrapText="1"/>
    </xf>
    <xf numFmtId="0" fontId="30" fillId="3" borderId="0" xfId="4" applyNumberFormat="1" applyFont="1" applyFill="1" applyBorder="1" applyAlignment="1" applyProtection="1">
      <alignment vertical="center" wrapText="1"/>
    </xf>
    <xf numFmtId="0" fontId="12" fillId="3" borderId="49" xfId="4" applyNumberFormat="1" applyFont="1" applyFill="1" applyBorder="1" applyAlignment="1" applyProtection="1">
      <alignment horizontal="left" vertical="center"/>
    </xf>
    <xf numFmtId="174" fontId="12" fillId="3" borderId="50" xfId="1" applyNumberFormat="1" applyFont="1" applyFill="1" applyBorder="1" applyAlignment="1" applyProtection="1">
      <alignment vertical="center"/>
    </xf>
    <xf numFmtId="175" fontId="12" fillId="3" borderId="50" xfId="1" applyNumberFormat="1" applyFont="1" applyFill="1" applyBorder="1" applyAlignment="1" applyProtection="1">
      <alignment horizontal="left" vertical="center" indent="3"/>
    </xf>
    <xf numFmtId="0" fontId="12" fillId="3" borderId="27" xfId="4" applyNumberFormat="1" applyFont="1" applyFill="1" applyBorder="1" applyAlignment="1" applyProtection="1">
      <alignment vertical="center"/>
    </xf>
    <xf numFmtId="0" fontId="5" fillId="3" borderId="0" xfId="4" applyNumberFormat="1" applyFont="1" applyFill="1" applyAlignment="1" applyProtection="1">
      <alignment vertical="center"/>
    </xf>
    <xf numFmtId="0" fontId="26" fillId="3" borderId="0" xfId="4" applyNumberFormat="1" applyFont="1" applyFill="1" applyAlignment="1" applyProtection="1">
      <alignment vertical="center"/>
    </xf>
    <xf numFmtId="0" fontId="12" fillId="3" borderId="0" xfId="4" applyNumberFormat="1" applyFont="1" applyFill="1" applyAlignment="1" applyProtection="1">
      <alignment vertical="center"/>
    </xf>
    <xf numFmtId="0" fontId="12" fillId="3" borderId="0" xfId="4" applyNumberFormat="1" applyFont="1" applyFill="1" applyAlignment="1" applyProtection="1">
      <alignment horizontal="center"/>
    </xf>
    <xf numFmtId="9" fontId="12" fillId="5" borderId="21" xfId="2" applyFont="1" applyFill="1" applyBorder="1" applyAlignment="1" applyProtection="1">
      <alignment vertical="center"/>
      <protection locked="0"/>
    </xf>
    <xf numFmtId="10" fontId="13" fillId="3" borderId="21" xfId="4" applyNumberFormat="1" applyFont="1" applyFill="1" applyBorder="1" applyAlignment="1" applyProtection="1">
      <alignment horizontal="left"/>
    </xf>
    <xf numFmtId="0" fontId="20" fillId="3" borderId="22" xfId="4" applyNumberFormat="1" applyFont="1" applyFill="1" applyBorder="1" applyAlignment="1" applyProtection="1">
      <alignment horizontal="center" vertical="center"/>
    </xf>
    <xf numFmtId="168" fontId="12" fillId="0" borderId="4" xfId="1" applyFont="1" applyBorder="1" applyAlignment="1" applyProtection="1">
      <alignment vertical="center"/>
    </xf>
    <xf numFmtId="10" fontId="13" fillId="3" borderId="4" xfId="4" applyNumberFormat="1" applyFont="1" applyFill="1" applyBorder="1" applyAlignment="1" applyProtection="1">
      <alignment horizontal="left"/>
    </xf>
    <xf numFmtId="0" fontId="20" fillId="3" borderId="39" xfId="4" applyNumberFormat="1" applyFont="1" applyFill="1" applyBorder="1" applyAlignment="1" applyProtection="1">
      <alignment horizontal="center" vertical="center"/>
    </xf>
    <xf numFmtId="0" fontId="20" fillId="0" borderId="0" xfId="4" applyNumberFormat="1" applyFont="1" applyBorder="1" applyAlignment="1" applyProtection="1">
      <alignment horizontal="center" vertical="center"/>
    </xf>
    <xf numFmtId="4" fontId="12" fillId="3" borderId="4" xfId="4" applyNumberFormat="1" applyFont="1" applyFill="1" applyBorder="1" applyAlignment="1" applyProtection="1">
      <alignment horizontal="left"/>
    </xf>
    <xf numFmtId="0" fontId="0" fillId="3" borderId="42" xfId="4" applyNumberFormat="1" applyFont="1" applyFill="1" applyBorder="1" applyAlignment="1" applyProtection="1">
      <alignment vertical="center"/>
    </xf>
    <xf numFmtId="0" fontId="27" fillId="3" borderId="46" xfId="4" applyNumberFormat="1" applyFont="1" applyFill="1" applyBorder="1" applyAlignment="1" applyProtection="1">
      <alignment horizontal="left" vertical="center"/>
    </xf>
    <xf numFmtId="0" fontId="20" fillId="3" borderId="47" xfId="4" applyNumberFormat="1" applyFont="1" applyFill="1" applyBorder="1" applyAlignment="1" applyProtection="1">
      <alignment horizontal="center" vertical="center"/>
    </xf>
    <xf numFmtId="0" fontId="12" fillId="3" borderId="0" xfId="4" applyNumberFormat="1" applyFont="1" applyFill="1" applyBorder="1" applyAlignment="1" applyProtection="1">
      <alignment horizontal="left" vertical="center"/>
    </xf>
    <xf numFmtId="174" fontId="12" fillId="3" borderId="0" xfId="1" applyNumberFormat="1" applyFont="1" applyFill="1" applyBorder="1" applyAlignment="1" applyProtection="1">
      <alignment vertical="center"/>
    </xf>
    <xf numFmtId="175" fontId="12" fillId="3" borderId="0" xfId="1" applyNumberFormat="1" applyFont="1" applyFill="1" applyBorder="1" applyAlignment="1" applyProtection="1">
      <alignment horizontal="left" vertical="center" indent="3"/>
    </xf>
    <xf numFmtId="0" fontId="12" fillId="3" borderId="0" xfId="4" applyNumberFormat="1" applyFont="1" applyFill="1" applyBorder="1" applyAlignment="1" applyProtection="1">
      <alignment vertical="center"/>
    </xf>
    <xf numFmtId="0" fontId="27" fillId="3" borderId="0" xfId="4" applyNumberFormat="1" applyFont="1" applyFill="1" applyBorder="1" applyAlignment="1" applyProtection="1">
      <alignment horizontal="left" vertical="center"/>
    </xf>
    <xf numFmtId="168" fontId="20" fillId="3" borderId="0" xfId="1" applyFont="1" applyFill="1" applyBorder="1" applyAlignment="1" applyProtection="1">
      <alignment horizontal="left" vertical="center"/>
    </xf>
    <xf numFmtId="0" fontId="20" fillId="3" borderId="0" xfId="4" applyNumberFormat="1" applyFont="1" applyFill="1" applyBorder="1" applyAlignment="1" applyProtection="1">
      <alignment horizontal="left" vertical="center"/>
    </xf>
    <xf numFmtId="0" fontId="27" fillId="3" borderId="0" xfId="4" applyNumberFormat="1" applyFont="1" applyFill="1" applyBorder="1" applyAlignment="1" applyProtection="1">
      <alignment horizontal="center" vertical="center"/>
    </xf>
    <xf numFmtId="0" fontId="20" fillId="3" borderId="0" xfId="4" applyNumberFormat="1" applyFont="1" applyFill="1" applyBorder="1" applyAlignment="1" applyProtection="1">
      <alignment horizontal="center" vertical="top"/>
    </xf>
    <xf numFmtId="0" fontId="0" fillId="0" borderId="0" xfId="0" applyFont="1" applyProtection="1"/>
    <xf numFmtId="0" fontId="0" fillId="0" borderId="0" xfId="0" applyFont="1" applyAlignment="1" applyProtection="1">
      <alignment horizontal="center"/>
    </xf>
    <xf numFmtId="0" fontId="0" fillId="3" borderId="89" xfId="0" applyFont="1" applyFill="1" applyBorder="1" applyProtection="1"/>
    <xf numFmtId="0" fontId="5" fillId="3" borderId="90" xfId="0" applyFont="1" applyFill="1" applyBorder="1" applyAlignment="1" applyProtection="1">
      <alignment vertical="center"/>
    </xf>
    <xf numFmtId="0" fontId="5" fillId="3" borderId="91" xfId="0" applyFont="1" applyFill="1" applyBorder="1" applyAlignment="1" applyProtection="1">
      <alignment vertical="center"/>
    </xf>
    <xf numFmtId="0" fontId="0" fillId="3" borderId="93" xfId="0" applyFont="1" applyFill="1" applyBorder="1" applyProtection="1"/>
    <xf numFmtId="0" fontId="30" fillId="3" borderId="0" xfId="0" applyFont="1" applyFill="1" applyBorder="1" applyProtection="1"/>
    <xf numFmtId="0" fontId="30" fillId="3" borderId="0" xfId="0" applyFont="1" applyFill="1" applyBorder="1" applyAlignment="1" applyProtection="1">
      <alignment horizontal="left"/>
    </xf>
    <xf numFmtId="0" fontId="30" fillId="3" borderId="10" xfId="0" applyFont="1" applyFill="1" applyBorder="1" applyAlignment="1" applyProtection="1">
      <alignment horizontal="left"/>
    </xf>
    <xf numFmtId="0" fontId="31" fillId="3" borderId="0" xfId="0" applyFont="1" applyFill="1" applyBorder="1" applyProtection="1"/>
    <xf numFmtId="49" fontId="27" fillId="3" borderId="0" xfId="0" applyNumberFormat="1" applyFont="1" applyFill="1" applyBorder="1" applyAlignment="1" applyProtection="1">
      <alignment horizontal="center" vertical="top"/>
    </xf>
    <xf numFmtId="0" fontId="0" fillId="3" borderId="0" xfId="0" applyFont="1" applyFill="1" applyBorder="1" applyProtection="1"/>
    <xf numFmtId="0" fontId="0" fillId="3" borderId="94" xfId="0" applyFont="1" applyFill="1" applyBorder="1" applyProtection="1"/>
    <xf numFmtId="0" fontId="5" fillId="3" borderId="0" xfId="0" applyFont="1" applyFill="1" applyBorder="1" applyAlignment="1" applyProtection="1"/>
    <xf numFmtId="0" fontId="5" fillId="3" borderId="10" xfId="0" applyFont="1" applyFill="1" applyBorder="1" applyAlignment="1" applyProtection="1"/>
    <xf numFmtId="0" fontId="0" fillId="3" borderId="10" xfId="0" applyFont="1" applyFill="1" applyBorder="1" applyProtection="1"/>
    <xf numFmtId="0" fontId="32" fillId="3" borderId="0" xfId="0" applyFont="1" applyFill="1" applyBorder="1" applyProtection="1"/>
    <xf numFmtId="0" fontId="32" fillId="3" borderId="94" xfId="0" applyFont="1" applyFill="1" applyBorder="1" applyProtection="1"/>
    <xf numFmtId="0" fontId="33" fillId="3" borderId="0" xfId="0" applyFont="1" applyFill="1" applyBorder="1" applyAlignment="1" applyProtection="1">
      <alignment vertical="center" wrapText="1"/>
    </xf>
    <xf numFmtId="0" fontId="33" fillId="3" borderId="10" xfId="0" applyFont="1" applyFill="1" applyBorder="1" applyAlignment="1" applyProtection="1">
      <alignment vertical="center" wrapText="1"/>
    </xf>
    <xf numFmtId="0" fontId="0" fillId="3" borderId="97" xfId="0" applyFont="1" applyFill="1" applyBorder="1" applyProtection="1"/>
    <xf numFmtId="0" fontId="5" fillId="3" borderId="1" xfId="0" applyFont="1" applyFill="1" applyBorder="1" applyAlignment="1" applyProtection="1">
      <alignment vertical="center" wrapText="1"/>
    </xf>
    <xf numFmtId="0" fontId="5" fillId="3" borderId="12" xfId="0" applyFont="1" applyFill="1" applyBorder="1" applyAlignment="1" applyProtection="1">
      <alignment vertical="center" wrapText="1"/>
    </xf>
    <xf numFmtId="0" fontId="0" fillId="3" borderId="99" xfId="0" applyFont="1" applyFill="1" applyBorder="1" applyProtection="1"/>
    <xf numFmtId="0" fontId="0" fillId="3" borderId="7" xfId="0" applyFont="1" applyFill="1" applyBorder="1" applyProtection="1"/>
    <xf numFmtId="0" fontId="0" fillId="3" borderId="100" xfId="0" applyFont="1" applyFill="1" applyBorder="1" applyProtection="1"/>
    <xf numFmtId="177" fontId="5" fillId="0" borderId="0" xfId="0" applyNumberFormat="1" applyFont="1" applyBorder="1" applyAlignment="1" applyProtection="1">
      <alignment horizontal="left" vertical="center"/>
    </xf>
    <xf numFmtId="177" fontId="5" fillId="0" borderId="0" xfId="0" applyNumberFormat="1" applyFont="1" applyBorder="1" applyAlignment="1" applyProtection="1">
      <alignment vertical="center"/>
    </xf>
    <xf numFmtId="177" fontId="5" fillId="3" borderId="0" xfId="0" applyNumberFormat="1" applyFont="1" applyFill="1" applyBorder="1" applyAlignment="1" applyProtection="1">
      <alignment vertical="center"/>
    </xf>
    <xf numFmtId="177" fontId="5" fillId="3" borderId="94" xfId="0" applyNumberFormat="1" applyFont="1" applyFill="1" applyBorder="1" applyAlignment="1" applyProtection="1">
      <alignment vertical="center"/>
    </xf>
    <xf numFmtId="166" fontId="34" fillId="3" borderId="0" xfId="0" applyNumberFormat="1" applyFont="1" applyFill="1" applyBorder="1" applyAlignment="1" applyProtection="1">
      <alignment vertical="center"/>
    </xf>
    <xf numFmtId="4" fontId="34" fillId="3" borderId="0" xfId="0" applyNumberFormat="1" applyFont="1" applyFill="1" applyBorder="1" applyAlignment="1" applyProtection="1">
      <alignment vertical="center"/>
    </xf>
    <xf numFmtId="4" fontId="34" fillId="3" borderId="94" xfId="0" applyNumberFormat="1" applyFont="1" applyFill="1" applyBorder="1" applyAlignment="1" applyProtection="1">
      <alignment vertical="center"/>
    </xf>
    <xf numFmtId="178" fontId="5" fillId="3" borderId="102" xfId="0" applyNumberFormat="1" applyFont="1" applyFill="1" applyBorder="1" applyAlignment="1" applyProtection="1">
      <alignment horizontal="left" vertical="center"/>
    </xf>
    <xf numFmtId="178" fontId="5" fillId="3" borderId="102" xfId="0" applyNumberFormat="1" applyFont="1" applyFill="1" applyBorder="1" applyAlignment="1" applyProtection="1">
      <alignment vertical="center"/>
    </xf>
    <xf numFmtId="179" fontId="5" fillId="3" borderId="102" xfId="0" applyNumberFormat="1" applyFont="1" applyFill="1" applyBorder="1" applyAlignment="1" applyProtection="1">
      <alignment vertical="center"/>
    </xf>
    <xf numFmtId="179" fontId="5" fillId="3" borderId="102" xfId="0" applyNumberFormat="1" applyFont="1" applyFill="1" applyBorder="1" applyAlignment="1" applyProtection="1">
      <alignment vertical="center"/>
      <protection locked="0"/>
    </xf>
    <xf numFmtId="179" fontId="5" fillId="3" borderId="103" xfId="0" applyNumberFormat="1" applyFont="1" applyFill="1" applyBorder="1" applyAlignment="1" applyProtection="1">
      <alignment vertical="center"/>
      <protection locked="0"/>
    </xf>
    <xf numFmtId="0" fontId="6" fillId="3" borderId="93" xfId="0" applyFont="1" applyFill="1" applyBorder="1" applyAlignment="1" applyProtection="1">
      <alignment horizontal="left" vertical="center"/>
    </xf>
    <xf numFmtId="0" fontId="6" fillId="3" borderId="0" xfId="0" applyFont="1" applyFill="1" applyBorder="1" applyAlignment="1" applyProtection="1">
      <alignment horizontal="left" vertical="center"/>
    </xf>
    <xf numFmtId="0" fontId="6" fillId="3" borderId="94" xfId="0" applyFont="1" applyFill="1" applyBorder="1" applyAlignment="1" applyProtection="1">
      <alignment horizontal="left" vertical="center"/>
    </xf>
    <xf numFmtId="0" fontId="6" fillId="3" borderId="101" xfId="0" applyFont="1" applyFill="1" applyBorder="1" applyAlignment="1" applyProtection="1">
      <alignment horizontal="left" vertical="center"/>
    </xf>
    <xf numFmtId="0" fontId="6" fillId="3" borderId="102" xfId="0" applyFont="1" applyFill="1" applyBorder="1" applyAlignment="1" applyProtection="1">
      <alignment horizontal="left" vertical="center"/>
    </xf>
    <xf numFmtId="0" fontId="6" fillId="3" borderId="103" xfId="0" applyFont="1" applyFill="1" applyBorder="1" applyAlignment="1" applyProtection="1">
      <alignment horizontal="left" vertical="center"/>
    </xf>
    <xf numFmtId="0" fontId="6" fillId="3" borderId="105" xfId="0" applyFont="1" applyFill="1" applyBorder="1" applyAlignment="1" applyProtection="1">
      <alignment horizontal="center" vertical="center" wrapText="1"/>
    </xf>
    <xf numFmtId="164" fontId="6" fillId="3" borderId="106" xfId="4" applyNumberFormat="1" applyFont="1" applyFill="1" applyBorder="1" applyAlignment="1" applyProtection="1">
      <alignment horizontal="center" vertical="center" wrapText="1"/>
    </xf>
    <xf numFmtId="0" fontId="30" fillId="3" borderId="107" xfId="0" applyFont="1" applyFill="1" applyBorder="1" applyAlignment="1" applyProtection="1">
      <alignment horizontal="center" vertical="center" wrapText="1"/>
    </xf>
    <xf numFmtId="0" fontId="30" fillId="3" borderId="108" xfId="0" applyFont="1" applyFill="1" applyBorder="1" applyAlignment="1" applyProtection="1">
      <alignment horizontal="center" vertical="center" wrapText="1"/>
    </xf>
    <xf numFmtId="0" fontId="33" fillId="3" borderId="108" xfId="0" applyFont="1" applyFill="1" applyBorder="1" applyAlignment="1" applyProtection="1">
      <alignment horizontal="center" vertical="center" wrapText="1"/>
    </xf>
    <xf numFmtId="0" fontId="35" fillId="3" borderId="108" xfId="0" applyFont="1" applyFill="1" applyBorder="1" applyAlignment="1" applyProtection="1">
      <alignment horizontal="center" vertical="center" wrapText="1"/>
    </xf>
    <xf numFmtId="0" fontId="12" fillId="3" borderId="108" xfId="0" applyFont="1" applyFill="1" applyBorder="1" applyAlignment="1" applyProtection="1">
      <alignment horizontal="center" vertical="center" wrapText="1"/>
    </xf>
    <xf numFmtId="0" fontId="12" fillId="3" borderId="109" xfId="0" applyFont="1" applyFill="1" applyBorder="1" applyAlignment="1" applyProtection="1">
      <alignment horizontal="center" vertical="center" wrapText="1"/>
    </xf>
    <xf numFmtId="0" fontId="6" fillId="2" borderId="110" xfId="0" applyFont="1" applyFill="1" applyBorder="1" applyAlignment="1" applyProtection="1">
      <alignment horizontal="center" vertical="center"/>
    </xf>
    <xf numFmtId="0" fontId="6" fillId="2" borderId="4" xfId="0" applyFont="1" applyFill="1" applyBorder="1" applyAlignment="1" applyProtection="1">
      <alignment vertical="center"/>
    </xf>
    <xf numFmtId="0" fontId="36" fillId="2" borderId="4" xfId="0" applyFont="1" applyFill="1" applyBorder="1" applyAlignment="1" applyProtection="1">
      <alignment horizontal="center" vertical="center"/>
    </xf>
    <xf numFmtId="2" fontId="36" fillId="2" borderId="4" xfId="0" applyNumberFormat="1" applyFont="1" applyFill="1" applyBorder="1" applyAlignment="1" applyProtection="1">
      <alignment horizontal="center" vertical="center" wrapText="1"/>
    </xf>
    <xf numFmtId="4" fontId="36" fillId="2" borderId="111" xfId="1" applyNumberFormat="1" applyFont="1" applyFill="1" applyBorder="1" applyAlignment="1" applyProtection="1">
      <alignment horizontal="right" vertical="center" wrapText="1"/>
    </xf>
    <xf numFmtId="4" fontId="6" fillId="2" borderId="112" xfId="1" applyNumberFormat="1" applyFont="1" applyFill="1" applyBorder="1" applyAlignment="1" applyProtection="1">
      <alignment horizontal="right" vertical="center" wrapText="1"/>
    </xf>
    <xf numFmtId="0" fontId="0" fillId="3" borderId="113" xfId="0" applyFont="1" applyFill="1" applyBorder="1" applyAlignment="1" applyProtection="1">
      <alignment horizontal="center" vertical="center"/>
    </xf>
    <xf numFmtId="2" fontId="0" fillId="3" borderId="114" xfId="0" applyNumberFormat="1" applyFont="1" applyFill="1" applyBorder="1" applyAlignment="1" applyProtection="1">
      <alignment vertical="center"/>
    </xf>
    <xf numFmtId="0" fontId="0" fillId="3" borderId="114" xfId="0" applyFont="1" applyFill="1" applyBorder="1" applyAlignment="1" applyProtection="1">
      <alignment vertical="center"/>
    </xf>
    <xf numFmtId="0" fontId="0" fillId="3" borderId="115" xfId="0" applyFont="1" applyFill="1" applyBorder="1" applyAlignment="1" applyProtection="1">
      <alignment horizontal="center" vertical="center"/>
    </xf>
    <xf numFmtId="4" fontId="0" fillId="5" borderId="116" xfId="1" applyNumberFormat="1" applyFont="1" applyFill="1" applyBorder="1" applyAlignment="1" applyProtection="1">
      <alignment horizontal="right" vertical="center" wrapText="1"/>
      <protection locked="0"/>
    </xf>
    <xf numFmtId="168" fontId="0" fillId="3" borderId="115" xfId="1" applyFont="1" applyFill="1" applyBorder="1" applyAlignment="1" applyProtection="1">
      <alignment horizontal="right" vertical="center" wrapText="1"/>
    </xf>
    <xf numFmtId="4" fontId="0" fillId="3" borderId="115" xfId="1" applyNumberFormat="1" applyFont="1" applyFill="1" applyBorder="1" applyAlignment="1" applyProtection="1">
      <alignment horizontal="right" vertical="center" wrapText="1"/>
    </xf>
    <xf numFmtId="2" fontId="0" fillId="3" borderId="117" xfId="0" applyNumberFormat="1" applyFont="1" applyFill="1" applyBorder="1" applyAlignment="1" applyProtection="1">
      <alignment vertical="center"/>
    </xf>
    <xf numFmtId="0" fontId="0" fillId="3" borderId="116" xfId="0" applyFont="1" applyFill="1" applyBorder="1" applyAlignment="1" applyProtection="1">
      <alignment horizontal="center" vertical="center"/>
    </xf>
    <xf numFmtId="168" fontId="0" fillId="3" borderId="118" xfId="1" applyFont="1" applyFill="1" applyBorder="1" applyAlignment="1" applyProtection="1">
      <alignment horizontal="right" vertical="center" wrapText="1"/>
    </xf>
    <xf numFmtId="4" fontId="0" fillId="3" borderId="116" xfId="1" applyNumberFormat="1" applyFont="1" applyFill="1" applyBorder="1" applyAlignment="1" applyProtection="1">
      <alignment horizontal="right" vertical="center" wrapText="1"/>
    </xf>
    <xf numFmtId="0" fontId="0" fillId="3" borderId="118" xfId="0" applyFont="1" applyFill="1" applyBorder="1" applyAlignment="1" applyProtection="1">
      <alignment horizontal="center" vertical="center"/>
    </xf>
    <xf numFmtId="0" fontId="0" fillId="3" borderId="117" xfId="0" applyFont="1" applyFill="1" applyBorder="1" applyAlignment="1" applyProtection="1">
      <alignment vertical="center"/>
    </xf>
    <xf numFmtId="0" fontId="0" fillId="3" borderId="119" xfId="0" applyFont="1" applyFill="1" applyBorder="1" applyAlignment="1" applyProtection="1">
      <alignment vertical="center"/>
    </xf>
    <xf numFmtId="0" fontId="30" fillId="3" borderId="120" xfId="0" applyFont="1" applyFill="1" applyBorder="1" applyAlignment="1" applyProtection="1">
      <alignment horizontal="center" vertical="center" wrapText="1"/>
    </xf>
    <xf numFmtId="2" fontId="30" fillId="3" borderId="121" xfId="0" applyNumberFormat="1" applyFont="1" applyFill="1" applyBorder="1" applyAlignment="1" applyProtection="1">
      <alignment horizontal="center" vertical="center" wrapText="1"/>
    </xf>
    <xf numFmtId="0" fontId="33" fillId="3" borderId="121" xfId="0" applyFont="1" applyFill="1" applyBorder="1" applyAlignment="1" applyProtection="1">
      <alignment horizontal="center" vertical="center" wrapText="1"/>
    </xf>
    <xf numFmtId="0" fontId="35" fillId="3" borderId="121" xfId="0" applyFont="1" applyFill="1" applyBorder="1" applyAlignment="1" applyProtection="1">
      <alignment horizontal="center" vertical="center" wrapText="1"/>
    </xf>
    <xf numFmtId="0" fontId="12" fillId="3" borderId="121" xfId="0" applyFont="1" applyFill="1" applyBorder="1" applyAlignment="1" applyProtection="1">
      <alignment horizontal="center" vertical="center" wrapText="1"/>
    </xf>
    <xf numFmtId="0" fontId="12" fillId="3" borderId="122" xfId="0" applyFont="1" applyFill="1" applyBorder="1" applyAlignment="1" applyProtection="1">
      <alignment horizontal="center" vertical="center" wrapText="1"/>
    </xf>
    <xf numFmtId="4" fontId="0" fillId="3" borderId="118" xfId="1" applyNumberFormat="1" applyFont="1" applyFill="1" applyBorder="1" applyAlignment="1" applyProtection="1">
      <alignment horizontal="right" vertical="center" wrapText="1"/>
    </xf>
    <xf numFmtId="0" fontId="0" fillId="3" borderId="123" xfId="0" applyFont="1" applyFill="1" applyBorder="1" applyAlignment="1" applyProtection="1">
      <alignment horizontal="center" vertical="center"/>
    </xf>
    <xf numFmtId="2" fontId="0" fillId="3" borderId="117" xfId="0" applyNumberFormat="1" applyFont="1" applyFill="1" applyBorder="1" applyAlignment="1" applyProtection="1">
      <alignment horizontal="left" vertical="center"/>
    </xf>
    <xf numFmtId="168" fontId="0" fillId="3" borderId="119" xfId="0" applyNumberFormat="1" applyFont="1" applyFill="1" applyBorder="1" applyAlignment="1" applyProtection="1">
      <alignment vertical="center" wrapText="1"/>
    </xf>
    <xf numFmtId="0" fontId="0" fillId="3" borderId="93" xfId="0" applyFont="1" applyFill="1" applyBorder="1" applyAlignment="1" applyProtection="1">
      <alignment horizontal="center" vertical="center"/>
    </xf>
    <xf numFmtId="4" fontId="0" fillId="3" borderId="117" xfId="0" applyNumberFormat="1" applyFont="1" applyFill="1" applyBorder="1" applyAlignment="1" applyProtection="1">
      <alignment horizontal="left" vertical="center"/>
    </xf>
    <xf numFmtId="168" fontId="0" fillId="3" borderId="117" xfId="1" applyFont="1" applyFill="1" applyBorder="1" applyAlignment="1" applyProtection="1">
      <alignment horizontal="right" vertical="center" wrapText="1"/>
    </xf>
    <xf numFmtId="168" fontId="0" fillId="3" borderId="118" xfId="1" applyFont="1" applyFill="1" applyBorder="1" applyAlignment="1" applyProtection="1">
      <alignment horizontal="center" vertical="center" wrapText="1"/>
    </xf>
    <xf numFmtId="0" fontId="0" fillId="3" borderId="117" xfId="0" applyFont="1" applyFill="1" applyBorder="1" applyAlignment="1" applyProtection="1">
      <alignment horizontal="justify" vertical="center"/>
    </xf>
    <xf numFmtId="2" fontId="0" fillId="3" borderId="0" xfId="0" applyNumberFormat="1" applyFont="1" applyFill="1" applyBorder="1" applyAlignment="1" applyProtection="1">
      <alignment vertical="center"/>
    </xf>
    <xf numFmtId="0" fontId="0" fillId="3" borderId="0" xfId="0" applyFont="1" applyFill="1" applyBorder="1" applyAlignment="1" applyProtection="1">
      <alignment vertical="center"/>
    </xf>
    <xf numFmtId="0" fontId="0" fillId="3" borderId="0" xfId="0" applyFont="1" applyFill="1" applyBorder="1" applyAlignment="1" applyProtection="1">
      <alignment horizontal="center" vertical="center"/>
    </xf>
    <xf numFmtId="4" fontId="0" fillId="3" borderId="0" xfId="1" applyNumberFormat="1" applyFont="1" applyFill="1" applyBorder="1" applyAlignment="1" applyProtection="1">
      <alignment horizontal="right" vertical="center" wrapText="1"/>
    </xf>
    <xf numFmtId="168" fontId="0" fillId="3" borderId="0" xfId="1" applyFont="1" applyFill="1" applyBorder="1" applyAlignment="1" applyProtection="1">
      <alignment horizontal="right" vertical="center" wrapText="1"/>
    </xf>
    <xf numFmtId="4" fontId="0" fillId="3" borderId="94" xfId="1" applyNumberFormat="1" applyFont="1" applyFill="1" applyBorder="1" applyAlignment="1" applyProtection="1">
      <alignment horizontal="right" vertical="center" wrapText="1"/>
    </xf>
    <xf numFmtId="0" fontId="6" fillId="2" borderId="4" xfId="0" applyFont="1" applyFill="1" applyBorder="1" applyAlignment="1" applyProtection="1">
      <alignment horizontal="justify" vertical="center"/>
    </xf>
    <xf numFmtId="0" fontId="6" fillId="2" borderId="4" xfId="0" applyFont="1" applyFill="1" applyBorder="1" applyAlignment="1" applyProtection="1">
      <alignment horizontal="center" vertical="center"/>
    </xf>
    <xf numFmtId="168" fontId="6" fillId="2" borderId="4" xfId="1" applyFont="1" applyFill="1" applyBorder="1" applyAlignment="1" applyProtection="1">
      <alignment horizontal="right" vertical="center"/>
    </xf>
    <xf numFmtId="4" fontId="6" fillId="2" borderId="112" xfId="1" applyNumberFormat="1" applyFont="1" applyFill="1" applyBorder="1" applyAlignment="1" applyProtection="1">
      <alignment horizontal="right" vertical="center"/>
    </xf>
    <xf numFmtId="0" fontId="0" fillId="3" borderId="126" xfId="0" applyFont="1" applyFill="1" applyBorder="1" applyAlignment="1" applyProtection="1">
      <alignment vertical="center"/>
    </xf>
    <xf numFmtId="168" fontId="0" fillId="3" borderId="113" xfId="1" applyFont="1" applyFill="1" applyBorder="1" applyAlignment="1" applyProtection="1">
      <alignment horizontal="right" vertical="center" wrapText="1"/>
    </xf>
    <xf numFmtId="168" fontId="0" fillId="3" borderId="116" xfId="1" applyFont="1" applyFill="1" applyBorder="1" applyAlignment="1" applyProtection="1">
      <alignment horizontal="right" vertical="center" wrapText="1"/>
    </xf>
    <xf numFmtId="168" fontId="0" fillId="3" borderId="117" xfId="1" applyFont="1" applyFill="1" applyBorder="1" applyAlignment="1" applyProtection="1">
      <alignment horizontal="left" vertical="center" wrapText="1"/>
    </xf>
    <xf numFmtId="0" fontId="0" fillId="3" borderId="119" xfId="0" applyFont="1" applyFill="1" applyBorder="1" applyAlignment="1" applyProtection="1">
      <alignment horizontal="justify" vertical="center"/>
    </xf>
    <xf numFmtId="0" fontId="0" fillId="0" borderId="116" xfId="0" applyFont="1" applyBorder="1" applyAlignment="1" applyProtection="1">
      <alignment horizontal="center" vertical="center"/>
    </xf>
    <xf numFmtId="0" fontId="6" fillId="2" borderId="4" xfId="0" applyFont="1" applyFill="1" applyBorder="1" applyAlignment="1" applyProtection="1">
      <alignment horizontal="left" vertical="center"/>
    </xf>
    <xf numFmtId="168" fontId="36" fillId="2" borderId="4" xfId="1" applyFont="1" applyFill="1" applyBorder="1" applyAlignment="1" applyProtection="1">
      <alignment horizontal="right" vertical="center" wrapText="1"/>
    </xf>
    <xf numFmtId="0" fontId="0" fillId="3" borderId="114" xfId="0" applyFont="1" applyFill="1" applyBorder="1" applyAlignment="1" applyProtection="1">
      <alignment horizontal="justify" vertical="center"/>
    </xf>
    <xf numFmtId="0" fontId="0" fillId="0" borderId="117" xfId="0" applyFont="1" applyBorder="1" applyAlignment="1" applyProtection="1">
      <alignment vertical="center"/>
    </xf>
    <xf numFmtId="2" fontId="0" fillId="3" borderId="127" xfId="0" applyNumberFormat="1" applyFont="1" applyFill="1" applyBorder="1" applyAlignment="1" applyProtection="1">
      <alignment vertical="center"/>
    </xf>
    <xf numFmtId="0" fontId="0" fillId="3" borderId="127" xfId="0" applyFont="1" applyFill="1" applyBorder="1" applyAlignment="1" applyProtection="1">
      <alignment horizontal="left" vertical="center"/>
    </xf>
    <xf numFmtId="0" fontId="0" fillId="3" borderId="127" xfId="0" applyFont="1" applyFill="1" applyBorder="1" applyAlignment="1" applyProtection="1">
      <alignment horizontal="right" vertical="center"/>
    </xf>
    <xf numFmtId="0" fontId="0" fillId="3" borderId="128" xfId="0" applyFont="1" applyFill="1" applyBorder="1" applyAlignment="1" applyProtection="1">
      <alignment horizontal="left" vertical="center"/>
    </xf>
    <xf numFmtId="0" fontId="37" fillId="3" borderId="114" xfId="0" applyFont="1" applyFill="1" applyBorder="1" applyAlignment="1" applyProtection="1">
      <alignment horizontal="right" vertical="center"/>
    </xf>
    <xf numFmtId="4" fontId="0" fillId="5" borderId="114" xfId="0" applyNumberFormat="1" applyFont="1" applyFill="1" applyBorder="1" applyAlignment="1" applyProtection="1">
      <alignment horizontal="center" vertical="center"/>
      <protection locked="0"/>
    </xf>
    <xf numFmtId="0" fontId="0" fillId="3" borderId="114" xfId="0" applyFont="1" applyFill="1" applyBorder="1" applyAlignment="1" applyProtection="1">
      <alignment horizontal="left" vertical="center"/>
    </xf>
    <xf numFmtId="0" fontId="0" fillId="3" borderId="114" xfId="0" applyFont="1" applyFill="1" applyBorder="1" applyAlignment="1" applyProtection="1">
      <alignment horizontal="right" vertical="center"/>
    </xf>
    <xf numFmtId="10" fontId="0" fillId="5" borderId="126" xfId="2" applyNumberFormat="1" applyFont="1" applyFill="1" applyBorder="1" applyAlignment="1" applyProtection="1">
      <alignment horizontal="center" vertical="center"/>
      <protection locked="0"/>
    </xf>
    <xf numFmtId="0" fontId="0" fillId="0" borderId="117" xfId="0" applyFont="1" applyBorder="1" applyAlignment="1" applyProtection="1">
      <alignment vertical="center" wrapText="1"/>
    </xf>
    <xf numFmtId="0" fontId="0" fillId="0" borderId="119" xfId="0" applyFont="1" applyBorder="1" applyAlignment="1" applyProtection="1">
      <alignment vertical="center" wrapText="1"/>
    </xf>
    <xf numFmtId="4" fontId="0" fillId="0" borderId="116" xfId="1" applyNumberFormat="1" applyFont="1" applyBorder="1" applyAlignment="1" applyProtection="1">
      <alignment horizontal="right" vertical="center" wrapText="1"/>
    </xf>
    <xf numFmtId="0" fontId="0" fillId="3" borderId="117" xfId="0" applyFont="1" applyFill="1" applyBorder="1" applyAlignment="1" applyProtection="1">
      <alignment horizontal="right" vertical="center"/>
    </xf>
    <xf numFmtId="10" fontId="0" fillId="5" borderId="119" xfId="1" applyNumberFormat="1" applyFont="1" applyFill="1" applyBorder="1" applyAlignment="1" applyProtection="1">
      <alignment horizontal="right" vertical="center" wrapText="1"/>
      <protection locked="0"/>
    </xf>
    <xf numFmtId="0" fontId="12" fillId="2" borderId="110" xfId="0" applyFont="1" applyFill="1" applyBorder="1" applyAlignment="1" applyProtection="1">
      <alignment horizontal="center" vertical="center"/>
    </xf>
    <xf numFmtId="4" fontId="36" fillId="2" borderId="4" xfId="1" applyNumberFormat="1" applyFont="1" applyFill="1" applyBorder="1" applyAlignment="1" applyProtection="1">
      <alignment horizontal="right" vertical="center" wrapText="1"/>
    </xf>
    <xf numFmtId="0" fontId="6" fillId="0" borderId="110" xfId="0" applyFont="1" applyBorder="1" applyAlignment="1" applyProtection="1">
      <alignment vertical="center"/>
    </xf>
    <xf numFmtId="0" fontId="6" fillId="0" borderId="4" xfId="0" applyFont="1" applyBorder="1" applyAlignment="1" applyProtection="1">
      <alignment vertical="center"/>
    </xf>
    <xf numFmtId="0" fontId="6" fillId="0" borderId="111" xfId="0" applyFont="1" applyBorder="1" applyAlignment="1" applyProtection="1">
      <alignment vertical="center"/>
    </xf>
    <xf numFmtId="0" fontId="12" fillId="3" borderId="113" xfId="0" applyFont="1" applyFill="1" applyBorder="1" applyAlignment="1" applyProtection="1">
      <alignment horizontal="center" vertical="center"/>
    </xf>
    <xf numFmtId="4" fontId="0" fillId="0" borderId="115" xfId="1" applyNumberFormat="1" applyFont="1" applyBorder="1" applyAlignment="1" applyProtection="1">
      <alignment horizontal="right" vertical="center" wrapText="1"/>
    </xf>
    <xf numFmtId="0" fontId="12" fillId="3" borderId="118" xfId="0" applyFont="1" applyFill="1" applyBorder="1" applyAlignment="1" applyProtection="1">
      <alignment horizontal="center" vertical="center"/>
    </xf>
    <xf numFmtId="0" fontId="38" fillId="3" borderId="117" xfId="3" applyFont="1" applyFill="1" applyBorder="1" applyAlignment="1" applyProtection="1">
      <alignment horizontal="center" vertical="center"/>
    </xf>
    <xf numFmtId="0" fontId="38" fillId="3" borderId="119" xfId="3" applyFont="1" applyFill="1" applyBorder="1" applyAlignment="1" applyProtection="1">
      <alignment horizontal="center" vertical="center"/>
    </xf>
    <xf numFmtId="0" fontId="0" fillId="3" borderId="117" xfId="0" applyFont="1" applyFill="1" applyBorder="1" applyAlignment="1" applyProtection="1">
      <alignment horizontal="left" vertical="center"/>
    </xf>
    <xf numFmtId="0" fontId="40" fillId="3" borderId="117" xfId="3" applyFont="1" applyFill="1" applyBorder="1" applyAlignment="1" applyProtection="1">
      <alignment horizontal="center" vertical="center"/>
    </xf>
    <xf numFmtId="0" fontId="40" fillId="0" borderId="119" xfId="3" applyFont="1" applyBorder="1" applyAlignment="1" applyProtection="1">
      <alignment horizontal="center" vertical="center"/>
    </xf>
    <xf numFmtId="0" fontId="38" fillId="0" borderId="119" xfId="3" applyFont="1" applyBorder="1" applyAlignment="1" applyProtection="1">
      <alignment horizontal="center" vertical="center"/>
    </xf>
    <xf numFmtId="0" fontId="0" fillId="3" borderId="119" xfId="0" applyFont="1" applyFill="1" applyBorder="1" applyProtection="1"/>
    <xf numFmtId="0" fontId="0" fillId="0" borderId="119" xfId="0" applyFont="1" applyBorder="1" applyProtection="1"/>
    <xf numFmtId="168" fontId="0" fillId="5" borderId="118" xfId="1" applyFont="1" applyFill="1" applyBorder="1" applyAlignment="1" applyProtection="1">
      <alignment horizontal="right" vertical="center" wrapText="1"/>
      <protection locked="0"/>
    </xf>
    <xf numFmtId="0" fontId="37" fillId="3" borderId="125" xfId="0" applyFont="1" applyFill="1" applyBorder="1" applyAlignment="1" applyProtection="1">
      <alignment vertical="center"/>
    </xf>
    <xf numFmtId="0" fontId="0" fillId="0" borderId="117" xfId="0" applyFont="1" applyBorder="1" applyProtection="1"/>
    <xf numFmtId="0" fontId="0" fillId="3" borderId="117" xfId="0" applyFont="1" applyFill="1" applyBorder="1" applyAlignment="1" applyProtection="1">
      <alignment horizontal="justify" vertical="center" wrapText="1"/>
    </xf>
    <xf numFmtId="0" fontId="0" fillId="3" borderId="119" xfId="0" applyFont="1" applyFill="1" applyBorder="1" applyAlignment="1" applyProtection="1">
      <alignment horizontal="center" vertical="center" wrapText="1"/>
    </xf>
    <xf numFmtId="4" fontId="37" fillId="3" borderId="125" xfId="0" applyNumberFormat="1" applyFont="1" applyFill="1" applyBorder="1" applyAlignment="1" applyProtection="1">
      <alignment vertical="center"/>
    </xf>
    <xf numFmtId="0" fontId="0" fillId="3" borderId="117" xfId="0" applyFont="1" applyFill="1" applyBorder="1" applyAlignment="1" applyProtection="1">
      <alignment vertical="center" wrapText="1"/>
    </xf>
    <xf numFmtId="168" fontId="0" fillId="3" borderId="116" xfId="1" applyFont="1" applyFill="1" applyBorder="1" applyAlignment="1" applyProtection="1">
      <alignment horizontal="center" vertical="center" wrapText="1"/>
    </xf>
    <xf numFmtId="0" fontId="41" fillId="3" borderId="114" xfId="0" applyFont="1" applyFill="1" applyBorder="1" applyAlignment="1" applyProtection="1">
      <alignment vertical="center"/>
    </xf>
    <xf numFmtId="0" fontId="0" fillId="0" borderId="115" xfId="0" applyFont="1" applyBorder="1" applyAlignment="1" applyProtection="1">
      <alignment horizontal="center" vertical="center"/>
    </xf>
    <xf numFmtId="4" fontId="0" fillId="0" borderId="114" xfId="0" applyNumberFormat="1" applyFont="1" applyBorder="1" applyAlignment="1" applyProtection="1">
      <alignment horizontal="right" vertical="center"/>
    </xf>
    <xf numFmtId="0" fontId="0" fillId="3" borderId="127" xfId="0" applyFont="1" applyFill="1" applyBorder="1" applyAlignment="1" applyProtection="1">
      <alignment vertical="center"/>
    </xf>
    <xf numFmtId="0" fontId="0" fillId="3" borderId="128" xfId="0" applyFont="1" applyFill="1" applyBorder="1" applyAlignment="1" applyProtection="1">
      <alignment vertical="center"/>
    </xf>
    <xf numFmtId="0" fontId="0" fillId="0" borderId="116" xfId="0" applyFont="1" applyBorder="1" applyAlignment="1" applyProtection="1">
      <alignment horizontal="center" vertical="center"/>
    </xf>
    <xf numFmtId="0" fontId="0" fillId="3" borderId="114" xfId="0" applyFont="1" applyFill="1" applyBorder="1" applyAlignment="1" applyProtection="1">
      <alignment horizontal="left" vertical="center" wrapText="1"/>
    </xf>
    <xf numFmtId="4" fontId="0" fillId="0" borderId="117" xfId="0" applyNumberFormat="1" applyFont="1" applyBorder="1" applyAlignment="1" applyProtection="1">
      <alignment horizontal="right" vertical="center"/>
    </xf>
    <xf numFmtId="4" fontId="0" fillId="0" borderId="118" xfId="1" applyNumberFormat="1" applyFont="1" applyBorder="1" applyAlignment="1" applyProtection="1">
      <alignment horizontal="right" vertical="center" wrapText="1"/>
    </xf>
    <xf numFmtId="0" fontId="37" fillId="3" borderId="117" xfId="0" applyFont="1" applyFill="1" applyBorder="1" applyAlignment="1" applyProtection="1">
      <alignment horizontal="right" vertical="center"/>
    </xf>
    <xf numFmtId="0" fontId="0" fillId="3" borderId="131" xfId="0" applyFont="1" applyFill="1" applyBorder="1" applyAlignment="1" applyProtection="1">
      <alignment vertical="center"/>
    </xf>
    <xf numFmtId="0" fontId="0" fillId="3" borderId="130" xfId="0" applyFont="1" applyFill="1" applyBorder="1" applyAlignment="1" applyProtection="1">
      <alignment vertical="center"/>
    </xf>
    <xf numFmtId="0" fontId="0" fillId="3" borderId="132" xfId="0" applyFont="1" applyFill="1" applyBorder="1" applyAlignment="1" applyProtection="1">
      <alignment horizontal="center" vertical="center"/>
    </xf>
    <xf numFmtId="2" fontId="0" fillId="3" borderId="133" xfId="0" applyNumberFormat="1" applyFont="1" applyFill="1" applyBorder="1" applyAlignment="1" applyProtection="1">
      <alignment vertical="center"/>
    </xf>
    <xf numFmtId="168" fontId="0" fillId="3" borderId="133" xfId="1" applyFont="1" applyFill="1" applyBorder="1" applyAlignment="1" applyProtection="1">
      <alignment horizontal="left" vertical="center" wrapText="1"/>
    </xf>
    <xf numFmtId="0" fontId="0" fillId="3" borderId="133" xfId="0" applyFont="1" applyFill="1" applyBorder="1" applyAlignment="1" applyProtection="1">
      <alignment horizontal="justify" vertical="center"/>
    </xf>
    <xf numFmtId="0" fontId="0" fillId="3" borderId="133" xfId="0" applyFont="1" applyFill="1" applyBorder="1" applyProtection="1"/>
    <xf numFmtId="168" fontId="0" fillId="3" borderId="133" xfId="1" applyFont="1" applyFill="1" applyBorder="1" applyAlignment="1" applyProtection="1">
      <alignment horizontal="center" vertical="center" wrapText="1"/>
    </xf>
    <xf numFmtId="4" fontId="0" fillId="3" borderId="133" xfId="1" applyNumberFormat="1" applyFont="1" applyFill="1" applyBorder="1" applyAlignment="1" applyProtection="1">
      <alignment horizontal="right" vertical="center" wrapText="1"/>
      <protection locked="0"/>
    </xf>
    <xf numFmtId="168" fontId="0" fillId="3" borderId="133" xfId="1" applyFont="1" applyFill="1" applyBorder="1" applyAlignment="1" applyProtection="1">
      <alignment horizontal="right" vertical="center" wrapText="1"/>
    </xf>
    <xf numFmtId="4" fontId="0" fillId="3" borderId="134" xfId="1" applyNumberFormat="1" applyFont="1" applyFill="1" applyBorder="1" applyAlignment="1" applyProtection="1">
      <alignment horizontal="right" vertical="center" wrapText="1"/>
    </xf>
    <xf numFmtId="0" fontId="0" fillId="3" borderId="102" xfId="0" applyFont="1" applyFill="1" applyBorder="1" applyAlignment="1" applyProtection="1">
      <alignment horizontal="center" vertical="center"/>
    </xf>
    <xf numFmtId="0" fontId="0" fillId="3" borderId="102" xfId="0" applyFont="1" applyFill="1" applyBorder="1" applyAlignment="1" applyProtection="1">
      <alignment vertical="center"/>
    </xf>
    <xf numFmtId="4" fontId="0" fillId="3" borderId="102" xfId="0" applyNumberFormat="1" applyFont="1" applyFill="1" applyBorder="1" applyAlignment="1" applyProtection="1">
      <alignment horizontal="center" vertical="center" wrapText="1"/>
    </xf>
    <xf numFmtId="2" fontId="31" fillId="3" borderId="102" xfId="0" applyNumberFormat="1" applyFont="1" applyFill="1" applyBorder="1" applyAlignment="1" applyProtection="1">
      <alignment horizontal="center" vertical="center" wrapText="1"/>
    </xf>
    <xf numFmtId="4" fontId="5" fillId="3" borderId="105" xfId="1" applyNumberFormat="1" applyFont="1" applyFill="1" applyBorder="1" applyAlignment="1" applyProtection="1">
      <alignment horizontal="right" vertical="center"/>
    </xf>
    <xf numFmtId="0" fontId="5" fillId="3" borderId="0" xfId="0" applyFont="1" applyFill="1" applyBorder="1" applyAlignment="1" applyProtection="1">
      <alignment horizontal="left" vertical="center"/>
    </xf>
    <xf numFmtId="168" fontId="12" fillId="3" borderId="0" xfId="1" applyFont="1" applyFill="1" applyBorder="1" applyAlignment="1" applyProtection="1">
      <alignment horizontal="center" vertical="center"/>
    </xf>
    <xf numFmtId="0" fontId="5" fillId="3" borderId="89" xfId="0" applyFont="1" applyFill="1" applyBorder="1" applyAlignment="1" applyProtection="1">
      <alignment horizontal="left" vertical="center"/>
    </xf>
    <xf numFmtId="0" fontId="0" fillId="3" borderId="90" xfId="0" applyFont="1" applyFill="1" applyBorder="1" applyAlignment="1" applyProtection="1">
      <alignment horizontal="left"/>
    </xf>
    <xf numFmtId="0" fontId="5" fillId="3" borderId="90" xfId="0" applyFont="1" applyFill="1" applyBorder="1" applyAlignment="1" applyProtection="1">
      <alignment horizontal="left" vertical="center"/>
    </xf>
    <xf numFmtId="168" fontId="12" fillId="3" borderId="135" xfId="1" applyFont="1" applyFill="1" applyBorder="1" applyAlignment="1" applyProtection="1">
      <alignment horizontal="center" vertical="center"/>
    </xf>
    <xf numFmtId="0" fontId="5" fillId="3" borderId="104" xfId="0" applyFont="1" applyFill="1" applyBorder="1" applyAlignment="1" applyProtection="1">
      <alignment vertical="top"/>
    </xf>
    <xf numFmtId="0" fontId="5" fillId="3" borderId="136" xfId="0" applyFont="1" applyFill="1" applyBorder="1" applyAlignment="1" applyProtection="1">
      <alignment vertical="center"/>
    </xf>
    <xf numFmtId="0" fontId="5" fillId="3" borderId="104" xfId="0" applyFont="1" applyFill="1" applyBorder="1" applyAlignment="1" applyProtection="1">
      <alignment vertical="center"/>
    </xf>
    <xf numFmtId="168" fontId="43" fillId="3" borderId="0" xfId="1" applyFont="1" applyFill="1" applyBorder="1" applyAlignment="1" applyProtection="1">
      <alignment horizontal="center" vertical="center"/>
    </xf>
    <xf numFmtId="0" fontId="43" fillId="3" borderId="0" xfId="0" applyFont="1" applyFill="1" applyBorder="1" applyAlignment="1" applyProtection="1">
      <alignment horizontal="left" vertical="center"/>
    </xf>
    <xf numFmtId="168" fontId="44" fillId="3" borderId="0" xfId="1" applyFont="1" applyFill="1" applyBorder="1" applyAlignment="1" applyProtection="1">
      <alignment horizontal="center" vertical="center"/>
    </xf>
    <xf numFmtId="0" fontId="45" fillId="3" borderId="0" xfId="0" applyFont="1" applyFill="1" applyBorder="1" applyAlignment="1" applyProtection="1">
      <alignment horizontal="left" vertical="center"/>
    </xf>
    <xf numFmtId="0" fontId="0" fillId="3" borderId="0" xfId="0" applyFont="1" applyFill="1" applyProtection="1"/>
    <xf numFmtId="0" fontId="0" fillId="3" borderId="0" xfId="4" applyNumberFormat="1" applyFont="1" applyFill="1" applyProtection="1"/>
    <xf numFmtId="180" fontId="0" fillId="3" borderId="0" xfId="0" applyNumberFormat="1" applyFont="1" applyFill="1" applyProtection="1"/>
    <xf numFmtId="0" fontId="0" fillId="3" borderId="0" xfId="0" applyFont="1" applyFill="1" applyAlignment="1" applyProtection="1">
      <alignment horizontal="center"/>
    </xf>
    <xf numFmtId="0" fontId="0" fillId="0" borderId="0" xfId="4" applyNumberFormat="1" applyFont="1" applyAlignment="1" applyProtection="1">
      <alignment vertical="center"/>
    </xf>
    <xf numFmtId="0" fontId="0" fillId="3" borderId="140" xfId="4" applyNumberFormat="1" applyFont="1" applyFill="1" applyBorder="1" applyAlignment="1" applyProtection="1">
      <alignment vertical="center"/>
    </xf>
    <xf numFmtId="0" fontId="0" fillId="3" borderId="125" xfId="4" applyNumberFormat="1" applyFont="1" applyFill="1" applyBorder="1" applyAlignment="1" applyProtection="1">
      <alignment horizontal="right" vertical="center"/>
    </xf>
    <xf numFmtId="166" fontId="0" fillId="3" borderId="117" xfId="4" applyNumberFormat="1" applyFont="1" applyFill="1" applyBorder="1" applyAlignment="1" applyProtection="1">
      <alignment vertical="center"/>
    </xf>
    <xf numFmtId="0" fontId="0" fillId="3" borderId="124" xfId="4" applyNumberFormat="1" applyFont="1" applyFill="1" applyBorder="1" applyAlignment="1" applyProtection="1">
      <alignment horizontal="left" vertical="center"/>
    </xf>
    <xf numFmtId="0" fontId="0" fillId="3" borderId="117" xfId="0" applyFill="1" applyBorder="1" applyAlignment="1"/>
    <xf numFmtId="0" fontId="0" fillId="3" borderId="124" xfId="0" applyFill="1" applyBorder="1" applyAlignment="1"/>
    <xf numFmtId="0" fontId="0" fillId="3" borderId="141" xfId="4" applyNumberFormat="1" applyFont="1" applyFill="1" applyBorder="1" applyAlignment="1" applyProtection="1">
      <alignment horizontal="left" vertical="center"/>
    </xf>
    <xf numFmtId="0" fontId="12" fillId="5" borderId="142" xfId="4" applyNumberFormat="1" applyFont="1" applyFill="1" applyBorder="1" applyAlignment="1" applyProtection="1">
      <alignment horizontal="center" vertical="center"/>
      <protection locked="0"/>
    </xf>
    <xf numFmtId="180" fontId="12" fillId="3" borderId="124" xfId="4" applyNumberFormat="1" applyFont="1" applyFill="1" applyBorder="1" applyAlignment="1" applyProtection="1">
      <alignment horizontal="left" vertical="center"/>
    </xf>
    <xf numFmtId="0" fontId="0" fillId="3" borderId="117" xfId="4" applyNumberFormat="1" applyFont="1" applyFill="1" applyBorder="1" applyAlignment="1" applyProtection="1">
      <alignment vertical="center"/>
    </xf>
    <xf numFmtId="0" fontId="0" fillId="3" borderId="127" xfId="4" applyNumberFormat="1" applyFont="1" applyFill="1" applyBorder="1" applyAlignment="1" applyProtection="1">
      <alignment vertical="center"/>
    </xf>
    <xf numFmtId="0" fontId="0" fillId="3" borderId="0" xfId="4" applyNumberFormat="1" applyFont="1" applyFill="1" applyAlignment="1" applyProtection="1">
      <alignment vertical="center"/>
    </xf>
    <xf numFmtId="0" fontId="12" fillId="3" borderId="141" xfId="4" applyNumberFormat="1" applyFont="1" applyFill="1" applyBorder="1" applyAlignment="1" applyProtection="1">
      <alignment horizontal="center" vertical="center"/>
    </xf>
    <xf numFmtId="10" fontId="0" fillId="5" borderId="140" xfId="4" applyNumberFormat="1" applyFont="1" applyFill="1" applyBorder="1" applyAlignment="1" applyProtection="1">
      <alignment vertical="center"/>
      <protection locked="0"/>
    </xf>
    <xf numFmtId="165" fontId="0" fillId="3" borderId="140" xfId="4" applyNumberFormat="1" applyFont="1" applyFill="1" applyBorder="1" applyAlignment="1" applyProtection="1">
      <alignment vertical="center"/>
    </xf>
    <xf numFmtId="0" fontId="0" fillId="3" borderId="117" xfId="4" applyNumberFormat="1" applyFont="1" applyFill="1" applyBorder="1" applyAlignment="1" applyProtection="1">
      <alignment horizontal="left" vertical="center"/>
    </xf>
    <xf numFmtId="10" fontId="0" fillId="3" borderId="140" xfId="4" applyNumberFormat="1" applyFont="1" applyFill="1" applyBorder="1" applyAlignment="1" applyProtection="1">
      <alignment vertical="center"/>
    </xf>
    <xf numFmtId="165" fontId="0" fillId="3" borderId="0" xfId="4" applyNumberFormat="1" applyFont="1" applyFill="1" applyBorder="1" applyAlignment="1" applyProtection="1">
      <alignment vertical="center"/>
    </xf>
    <xf numFmtId="164" fontId="22" fillId="3" borderId="140" xfId="4" applyNumberFormat="1" applyFont="1" applyFill="1" applyBorder="1" applyAlignment="1" applyProtection="1">
      <alignment vertical="center"/>
    </xf>
    <xf numFmtId="165" fontId="12" fillId="3" borderId="140" xfId="4" applyNumberFormat="1" applyFont="1" applyFill="1" applyBorder="1" applyAlignment="1" applyProtection="1">
      <alignment vertical="center"/>
    </xf>
    <xf numFmtId="182" fontId="0" fillId="3" borderId="0" xfId="4" applyNumberFormat="1" applyFont="1" applyFill="1" applyBorder="1" applyAlignment="1" applyProtection="1">
      <alignment vertical="center"/>
    </xf>
    <xf numFmtId="0" fontId="12" fillId="3" borderId="0" xfId="4" applyNumberFormat="1" applyFont="1" applyFill="1" applyAlignment="1" applyProtection="1">
      <alignment horizontal="right" vertical="center"/>
    </xf>
    <xf numFmtId="183" fontId="12" fillId="5" borderId="140" xfId="4" applyNumberFormat="1" applyFont="1" applyFill="1" applyBorder="1" applyAlignment="1" applyProtection="1">
      <alignment horizontal="center" vertical="center"/>
      <protection locked="0"/>
    </xf>
    <xf numFmtId="180" fontId="46" fillId="3" borderId="0" xfId="4" applyNumberFormat="1" applyFont="1" applyFill="1" applyBorder="1" applyAlignment="1" applyProtection="1">
      <alignment horizontal="right" vertical="center"/>
    </xf>
    <xf numFmtId="0" fontId="0" fillId="3" borderId="0" xfId="4" applyNumberFormat="1" applyFont="1" applyFill="1" applyBorder="1" applyAlignment="1" applyProtection="1">
      <alignment vertical="center"/>
    </xf>
    <xf numFmtId="182" fontId="12" fillId="3" borderId="140" xfId="1" applyNumberFormat="1" applyFont="1" applyFill="1" applyBorder="1" applyAlignment="1" applyProtection="1">
      <alignment vertical="center"/>
    </xf>
    <xf numFmtId="180" fontId="46" fillId="3" borderId="0" xfId="4" applyNumberFormat="1" applyFont="1" applyFill="1" applyBorder="1" applyAlignment="1" applyProtection="1">
      <alignment horizontal="right" vertical="center"/>
    </xf>
    <xf numFmtId="168" fontId="12" fillId="3" borderId="140" xfId="4" applyNumberFormat="1" applyFont="1" applyFill="1" applyBorder="1" applyAlignment="1" applyProtection="1">
      <alignment horizontal="center" vertical="center"/>
    </xf>
    <xf numFmtId="0" fontId="12" fillId="3" borderId="0" xfId="4" applyNumberFormat="1" applyFont="1" applyFill="1" applyBorder="1" applyAlignment="1" applyProtection="1">
      <alignment vertical="center" wrapText="1"/>
    </xf>
    <xf numFmtId="182" fontId="12" fillId="3" borderId="140" xfId="1" applyNumberFormat="1" applyFont="1" applyFill="1" applyBorder="1" applyAlignment="1" applyProtection="1">
      <alignment horizontal="right" vertical="center"/>
    </xf>
    <xf numFmtId="0" fontId="0" fillId="3" borderId="0" xfId="4" applyNumberFormat="1" applyFont="1" applyFill="1" applyBorder="1" applyAlignment="1" applyProtection="1">
      <alignment horizontal="center" vertical="center"/>
    </xf>
    <xf numFmtId="180" fontId="0" fillId="3" borderId="0" xfId="1" applyNumberFormat="1" applyFont="1" applyFill="1" applyBorder="1" applyAlignment="1" applyProtection="1"/>
    <xf numFmtId="0" fontId="0" fillId="3" borderId="0" xfId="4" applyNumberFormat="1" applyFont="1" applyFill="1" applyAlignment="1" applyProtection="1">
      <alignment horizontal="center" vertical="center"/>
    </xf>
    <xf numFmtId="0" fontId="12" fillId="3" borderId="0" xfId="4" applyNumberFormat="1" applyFont="1" applyFill="1" applyBorder="1" applyAlignment="1" applyProtection="1">
      <alignment horizontal="right" vertical="center"/>
    </xf>
    <xf numFmtId="182" fontId="22" fillId="3" borderId="140" xfId="1" applyNumberFormat="1" applyFont="1" applyFill="1" applyBorder="1" applyAlignment="1" applyProtection="1">
      <alignment horizontal="right" vertical="center"/>
    </xf>
    <xf numFmtId="180" fontId="0" fillId="3" borderId="0" xfId="4" applyNumberFormat="1" applyFont="1" applyFill="1" applyAlignment="1" applyProtection="1">
      <alignment vertical="center"/>
    </xf>
    <xf numFmtId="0" fontId="17" fillId="3" borderId="0" xfId="4" applyNumberFormat="1" applyFont="1" applyFill="1" applyAlignment="1" applyProtection="1">
      <protection locked="0"/>
    </xf>
    <xf numFmtId="181" fontId="0" fillId="3" borderId="0" xfId="4" applyNumberFormat="1" applyFont="1" applyFill="1" applyAlignment="1" applyProtection="1">
      <alignment vertical="center"/>
    </xf>
    <xf numFmtId="184" fontId="0" fillId="3" borderId="0" xfId="4" applyNumberFormat="1" applyFont="1" applyFill="1" applyAlignment="1" applyProtection="1">
      <alignment vertical="center"/>
    </xf>
    <xf numFmtId="0" fontId="47" fillId="0" borderId="0" xfId="4" applyNumberFormat="1" applyFont="1" applyAlignment="1" applyProtection="1">
      <alignment vertical="center"/>
    </xf>
    <xf numFmtId="0" fontId="0" fillId="0" borderId="0" xfId="0" applyProtection="1"/>
    <xf numFmtId="0" fontId="48" fillId="3" borderId="0" xfId="0" applyFont="1" applyFill="1" applyProtection="1"/>
    <xf numFmtId="0" fontId="5" fillId="3" borderId="0" xfId="0" applyFont="1" applyFill="1" applyBorder="1" applyAlignment="1" applyProtection="1">
      <alignment vertical="center"/>
    </xf>
    <xf numFmtId="0" fontId="30" fillId="0" borderId="0" xfId="0" applyFont="1" applyBorder="1" applyAlignment="1" applyProtection="1">
      <alignment horizontal="left"/>
    </xf>
    <xf numFmtId="0" fontId="0" fillId="0" borderId="0" xfId="0" applyBorder="1" applyProtection="1"/>
    <xf numFmtId="0" fontId="30" fillId="3" borderId="0" xfId="0" applyFont="1" applyFill="1" applyProtection="1"/>
    <xf numFmtId="0" fontId="30" fillId="3" borderId="0" xfId="0" applyFont="1" applyFill="1" applyBorder="1" applyAlignment="1" applyProtection="1">
      <alignment vertical="center"/>
    </xf>
    <xf numFmtId="0" fontId="30" fillId="3" borderId="45" xfId="0" applyFont="1" applyFill="1" applyBorder="1" applyAlignment="1" applyProtection="1">
      <alignment vertical="center"/>
    </xf>
    <xf numFmtId="0" fontId="30" fillId="3" borderId="45" xfId="0" applyFont="1" applyFill="1" applyBorder="1" applyProtection="1"/>
    <xf numFmtId="0" fontId="12" fillId="6" borderId="49" xfId="0" applyFont="1" applyFill="1" applyBorder="1" applyAlignment="1" applyProtection="1">
      <alignment vertical="center" wrapText="1"/>
    </xf>
    <xf numFmtId="0" fontId="29" fillId="6" borderId="27" xfId="0" applyFont="1" applyFill="1" applyBorder="1" applyAlignment="1" applyProtection="1">
      <alignment vertical="center" wrapText="1"/>
    </xf>
    <xf numFmtId="0" fontId="29" fillId="3" borderId="51" xfId="0" applyFont="1" applyFill="1" applyBorder="1" applyAlignment="1" applyProtection="1">
      <alignment horizontal="left" vertical="center" wrapText="1"/>
    </xf>
    <xf numFmtId="0" fontId="29" fillId="3" borderId="15" xfId="0" applyFont="1" applyFill="1" applyBorder="1" applyAlignment="1" applyProtection="1">
      <alignment horizontal="center" vertical="center" wrapText="1"/>
    </xf>
    <xf numFmtId="0" fontId="29" fillId="3" borderId="56" xfId="0" applyFont="1" applyFill="1" applyBorder="1" applyAlignment="1" applyProtection="1">
      <alignment horizontal="center" vertical="center" wrapText="1"/>
    </xf>
    <xf numFmtId="0" fontId="12" fillId="3" borderId="143" xfId="0" applyFont="1" applyFill="1" applyBorder="1" applyAlignment="1" applyProtection="1">
      <alignment horizontal="center" vertical="center" wrapText="1"/>
    </xf>
    <xf numFmtId="0" fontId="29" fillId="0" borderId="60" xfId="0" applyFont="1" applyBorder="1" applyAlignment="1" applyProtection="1">
      <alignment horizontal="center" vertical="center" wrapText="1"/>
    </xf>
    <xf numFmtId="0" fontId="50" fillId="3" borderId="144" xfId="0" applyFont="1" applyFill="1" applyBorder="1" applyAlignment="1" applyProtection="1">
      <alignment horizontal="center" vertical="center" wrapText="1"/>
    </xf>
    <xf numFmtId="0" fontId="0" fillId="3" borderId="145" xfId="0" applyFont="1" applyFill="1" applyBorder="1" applyAlignment="1" applyProtection="1">
      <alignment horizontal="left" vertical="center"/>
    </xf>
    <xf numFmtId="0" fontId="0" fillId="3" borderId="131" xfId="0" applyFont="1" applyFill="1" applyBorder="1" applyAlignment="1" applyProtection="1">
      <alignment horizontal="left" vertical="center"/>
    </xf>
    <xf numFmtId="10" fontId="0" fillId="3" borderId="66" xfId="0" applyNumberFormat="1" applyFont="1" applyFill="1" applyBorder="1" applyAlignment="1" applyProtection="1">
      <alignment horizontal="center" vertical="center" wrapText="1"/>
    </xf>
    <xf numFmtId="10" fontId="0" fillId="3" borderId="147" xfId="0" applyNumberFormat="1" applyFont="1" applyFill="1" applyBorder="1" applyAlignment="1" applyProtection="1">
      <alignment horizontal="center" vertical="center" wrapText="1"/>
    </xf>
    <xf numFmtId="10" fontId="0" fillId="5" borderId="148" xfId="0" applyNumberFormat="1" applyFont="1" applyFill="1" applyBorder="1" applyAlignment="1" applyProtection="1">
      <alignment horizontal="center" vertical="center"/>
      <protection locked="0"/>
    </xf>
    <xf numFmtId="10" fontId="0" fillId="0" borderId="72" xfId="4" applyNumberFormat="1" applyFont="1" applyBorder="1" applyAlignment="1" applyProtection="1">
      <alignment horizontal="center" vertical="center" wrapText="1"/>
    </xf>
    <xf numFmtId="0" fontId="50" fillId="3" borderId="149" xfId="0" applyFont="1" applyFill="1" applyBorder="1" applyAlignment="1" applyProtection="1">
      <alignment horizontal="center" vertical="center" wrapText="1"/>
    </xf>
    <xf numFmtId="0" fontId="0" fillId="3" borderId="125" xfId="0" applyFont="1" applyFill="1" applyBorder="1" applyAlignment="1" applyProtection="1">
      <alignment horizontal="left" vertical="center"/>
    </xf>
    <xf numFmtId="10" fontId="0" fillId="3" borderId="125" xfId="0" applyNumberFormat="1" applyFont="1" applyFill="1" applyBorder="1" applyAlignment="1" applyProtection="1">
      <alignment horizontal="right" vertical="center" wrapText="1"/>
    </xf>
    <xf numFmtId="10" fontId="0" fillId="3" borderId="150" xfId="0" applyNumberFormat="1" applyFont="1" applyFill="1" applyBorder="1" applyAlignment="1" applyProtection="1">
      <alignment horizontal="left" vertical="center" wrapText="1"/>
    </xf>
    <xf numFmtId="10" fontId="0" fillId="3" borderId="32" xfId="0" applyNumberFormat="1" applyFont="1" applyFill="1" applyBorder="1" applyAlignment="1" applyProtection="1">
      <alignment horizontal="center" vertical="center" wrapText="1"/>
    </xf>
    <xf numFmtId="10" fontId="0" fillId="3" borderId="33" xfId="0" applyNumberFormat="1" applyFont="1" applyFill="1" applyBorder="1" applyAlignment="1" applyProtection="1">
      <alignment horizontal="center" vertical="center" wrapText="1"/>
    </xf>
    <xf numFmtId="10" fontId="0" fillId="5" borderId="151" xfId="0" applyNumberFormat="1" applyFont="1" applyFill="1" applyBorder="1" applyAlignment="1" applyProtection="1">
      <alignment horizontal="center" vertical="center"/>
      <protection locked="0"/>
    </xf>
    <xf numFmtId="10" fontId="0" fillId="0" borderId="36" xfId="4" applyNumberFormat="1" applyFont="1" applyBorder="1" applyAlignment="1" applyProtection="1">
      <alignment horizontal="center" vertical="center" wrapText="1"/>
    </xf>
    <xf numFmtId="0" fontId="50" fillId="3" borderId="152" xfId="0" applyFont="1" applyFill="1" applyBorder="1" applyAlignment="1" applyProtection="1">
      <alignment horizontal="center" vertical="center" wrapText="1"/>
    </xf>
    <xf numFmtId="0" fontId="0" fillId="3" borderId="153" xfId="0" applyFont="1" applyFill="1" applyBorder="1" applyAlignment="1" applyProtection="1">
      <alignment vertical="center" wrapText="1"/>
    </xf>
    <xf numFmtId="0" fontId="0" fillId="3" borderId="121" xfId="0" applyFont="1" applyFill="1" applyBorder="1" applyAlignment="1" applyProtection="1">
      <alignment vertical="center" wrapText="1"/>
    </xf>
    <xf numFmtId="10" fontId="0" fillId="3" borderId="154" xfId="0" applyNumberFormat="1" applyFont="1" applyFill="1" applyBorder="1" applyAlignment="1" applyProtection="1">
      <alignment horizontal="left" vertical="center" wrapText="1"/>
    </xf>
    <xf numFmtId="10" fontId="0" fillId="3" borderId="155" xfId="0" applyNumberFormat="1" applyFont="1" applyFill="1" applyBorder="1" applyAlignment="1" applyProtection="1">
      <alignment horizontal="center" vertical="center" wrapText="1"/>
    </xf>
    <xf numFmtId="10" fontId="0" fillId="3" borderId="156" xfId="0" applyNumberFormat="1" applyFont="1" applyFill="1" applyBorder="1" applyAlignment="1" applyProtection="1">
      <alignment horizontal="center" vertical="center" wrapText="1"/>
    </xf>
    <xf numFmtId="0" fontId="0" fillId="3" borderId="38" xfId="0" applyFill="1" applyBorder="1" applyAlignment="1" applyProtection="1">
      <alignment horizontal="center" vertical="center" wrapText="1"/>
    </xf>
    <xf numFmtId="0" fontId="0" fillId="3" borderId="4" xfId="0" applyFont="1" applyFill="1" applyBorder="1" applyAlignment="1" applyProtection="1">
      <alignment horizontal="right" vertical="center"/>
    </xf>
    <xf numFmtId="0" fontId="29" fillId="3" borderId="157" xfId="0" applyFont="1" applyFill="1" applyBorder="1" applyAlignment="1" applyProtection="1">
      <alignment horizontal="right" vertical="center"/>
    </xf>
    <xf numFmtId="10" fontId="29" fillId="3" borderId="5" xfId="0" applyNumberFormat="1" applyFont="1" applyFill="1" applyBorder="1" applyAlignment="1" applyProtection="1">
      <alignment horizontal="center" vertical="center" wrapText="1"/>
    </xf>
    <xf numFmtId="10" fontId="29" fillId="3" borderId="43" xfId="0" applyNumberFormat="1" applyFont="1" applyFill="1" applyBorder="1" applyAlignment="1" applyProtection="1">
      <alignment horizontal="center" vertical="center" wrapText="1"/>
    </xf>
    <xf numFmtId="10" fontId="29" fillId="3" borderId="158" xfId="0" applyNumberFormat="1" applyFont="1" applyFill="1" applyBorder="1" applyAlignment="1" applyProtection="1">
      <alignment horizontal="center" vertical="center" wrapText="1"/>
    </xf>
    <xf numFmtId="10" fontId="29" fillId="0" borderId="24" xfId="4" applyNumberFormat="1" applyFont="1" applyBorder="1" applyAlignment="1" applyProtection="1">
      <alignment horizontal="center" vertical="center" wrapText="1"/>
    </xf>
    <xf numFmtId="0" fontId="0" fillId="3" borderId="48" xfId="0" applyFill="1" applyBorder="1" applyAlignment="1" applyProtection="1">
      <alignment horizontal="center" vertical="center" wrapText="1"/>
    </xf>
    <xf numFmtId="0" fontId="0" fillId="3" borderId="46" xfId="0" applyFont="1" applyFill="1" applyBorder="1" applyAlignment="1" applyProtection="1">
      <alignment vertical="center"/>
    </xf>
    <xf numFmtId="0" fontId="0" fillId="3" borderId="46" xfId="0" applyFont="1" applyFill="1" applyBorder="1" applyAlignment="1" applyProtection="1">
      <alignment vertical="center" wrapText="1"/>
    </xf>
    <xf numFmtId="0" fontId="0" fillId="3" borderId="46" xfId="0" applyFont="1" applyFill="1" applyBorder="1" applyAlignment="1" applyProtection="1">
      <alignment horizontal="center" vertical="center"/>
    </xf>
    <xf numFmtId="10" fontId="37" fillId="3" borderId="46" xfId="4" applyNumberFormat="1" applyFont="1" applyFill="1" applyBorder="1" applyAlignment="1" applyProtection="1">
      <alignment horizontal="center" vertical="center"/>
    </xf>
    <xf numFmtId="10" fontId="0" fillId="3" borderId="46" xfId="4" applyNumberFormat="1" applyFont="1" applyFill="1" applyBorder="1" applyAlignment="1" applyProtection="1">
      <alignment horizontal="center" vertical="center"/>
    </xf>
    <xf numFmtId="0" fontId="37" fillId="3" borderId="46" xfId="0" applyFont="1" applyFill="1" applyBorder="1" applyAlignment="1" applyProtection="1">
      <alignment horizontal="center" vertical="center" wrapText="1"/>
    </xf>
    <xf numFmtId="10" fontId="0" fillId="3" borderId="47" xfId="4" applyNumberFormat="1" applyFont="1" applyFill="1" applyBorder="1" applyAlignment="1" applyProtection="1">
      <alignment horizontal="center" vertical="center" wrapText="1"/>
    </xf>
    <xf numFmtId="0" fontId="29" fillId="3" borderId="58" xfId="0" applyFont="1" applyFill="1" applyBorder="1" applyAlignment="1" applyProtection="1">
      <alignment horizontal="center" vertical="center" wrapText="1"/>
    </xf>
    <xf numFmtId="0" fontId="29" fillId="3" borderId="52" xfId="0" applyFont="1" applyFill="1" applyBorder="1" applyAlignment="1" applyProtection="1">
      <alignment horizontal="center" vertical="center" wrapText="1"/>
    </xf>
    <xf numFmtId="0" fontId="50" fillId="3" borderId="37" xfId="0" applyFont="1" applyFill="1" applyBorder="1" applyAlignment="1" applyProtection="1">
      <alignment horizontal="center" vertical="center" wrapText="1"/>
    </xf>
    <xf numFmtId="0" fontId="0" fillId="3" borderId="4" xfId="0" applyFont="1" applyFill="1" applyBorder="1" applyAlignment="1" applyProtection="1">
      <alignment vertical="center"/>
    </xf>
    <xf numFmtId="10" fontId="0" fillId="3" borderId="2" xfId="4" applyNumberFormat="1" applyFont="1" applyFill="1" applyBorder="1" applyAlignment="1" applyProtection="1">
      <alignment horizontal="center" vertical="center" wrapText="1"/>
    </xf>
    <xf numFmtId="10" fontId="0" fillId="3" borderId="6" xfId="4" applyNumberFormat="1" applyFont="1" applyFill="1" applyBorder="1" applyAlignment="1" applyProtection="1">
      <alignment horizontal="center" vertical="center" wrapText="1"/>
    </xf>
    <xf numFmtId="10" fontId="0" fillId="5" borderId="82" xfId="4" applyNumberFormat="1" applyFont="1" applyFill="1" applyBorder="1" applyAlignment="1" applyProtection="1">
      <alignment horizontal="center" vertical="center"/>
      <protection locked="0"/>
    </xf>
    <xf numFmtId="10" fontId="0" fillId="0" borderId="35" xfId="4" applyNumberFormat="1" applyFont="1" applyBorder="1" applyAlignment="1" applyProtection="1">
      <alignment horizontal="center" vertical="center" wrapText="1"/>
    </xf>
    <xf numFmtId="0" fontId="0" fillId="3" borderId="38" xfId="0" applyFont="1" applyFill="1" applyBorder="1" applyAlignment="1" applyProtection="1">
      <alignment horizontal="center" vertical="center" wrapText="1"/>
    </xf>
    <xf numFmtId="10" fontId="29" fillId="3" borderId="5" xfId="4" applyNumberFormat="1" applyFont="1" applyFill="1" applyBorder="1" applyAlignment="1" applyProtection="1">
      <alignment horizontal="center" vertical="center" wrapText="1"/>
    </xf>
    <xf numFmtId="10" fontId="29" fillId="3" borderId="43" xfId="4" applyNumberFormat="1" applyFont="1" applyFill="1" applyBorder="1" applyAlignment="1" applyProtection="1">
      <alignment horizontal="center" vertical="center" wrapText="1"/>
    </xf>
    <xf numFmtId="10" fontId="29" fillId="3" borderId="158" xfId="4" applyNumberFormat="1" applyFont="1" applyFill="1" applyBorder="1" applyAlignment="1" applyProtection="1">
      <alignment horizontal="center" vertical="center" wrapText="1"/>
    </xf>
    <xf numFmtId="0" fontId="37" fillId="3" borderId="46" xfId="0" applyFont="1" applyFill="1" applyBorder="1" applyAlignment="1" applyProtection="1">
      <alignment vertical="center" wrapText="1"/>
    </xf>
    <xf numFmtId="0" fontId="0" fillId="3" borderId="145" xfId="0" applyFont="1" applyFill="1" applyBorder="1" applyAlignment="1" applyProtection="1">
      <alignment vertical="center"/>
    </xf>
    <xf numFmtId="0" fontId="0" fillId="3" borderId="161" xfId="0" applyFont="1" applyFill="1" applyBorder="1" applyAlignment="1" applyProtection="1">
      <alignment vertical="center"/>
    </xf>
    <xf numFmtId="0" fontId="0" fillId="3" borderId="131" xfId="0" applyFill="1" applyBorder="1" applyAlignment="1" applyProtection="1">
      <alignment vertical="center" wrapText="1"/>
    </xf>
    <xf numFmtId="0" fontId="37" fillId="3" borderId="117" xfId="0" applyFont="1" applyFill="1" applyBorder="1" applyAlignment="1" applyProtection="1">
      <alignment horizontal="center" vertical="center"/>
    </xf>
    <xf numFmtId="10" fontId="0" fillId="3" borderId="131" xfId="0" applyNumberFormat="1" applyFill="1" applyBorder="1" applyAlignment="1" applyProtection="1">
      <alignment horizontal="right" vertical="center"/>
    </xf>
    <xf numFmtId="10" fontId="0" fillId="3" borderId="151" xfId="0" applyNumberFormat="1" applyFont="1" applyFill="1" applyBorder="1" applyAlignment="1" applyProtection="1">
      <alignment horizontal="center" vertical="center" wrapText="1"/>
    </xf>
    <xf numFmtId="0" fontId="0" fillId="3" borderId="125" xfId="0" applyFont="1" applyFill="1" applyBorder="1" applyAlignment="1" applyProtection="1">
      <alignment vertical="center"/>
    </xf>
    <xf numFmtId="0" fontId="0" fillId="3" borderId="124" xfId="0" applyFont="1" applyFill="1" applyBorder="1" applyAlignment="1" applyProtection="1">
      <alignment vertical="center"/>
    </xf>
    <xf numFmtId="0" fontId="0" fillId="3" borderId="117" xfId="0" applyFill="1" applyBorder="1" applyAlignment="1" applyProtection="1">
      <alignment vertical="center" wrapText="1"/>
    </xf>
    <xf numFmtId="10" fontId="0" fillId="3" borderId="117" xfId="0" applyNumberFormat="1" applyFill="1" applyBorder="1" applyAlignment="1" applyProtection="1">
      <alignment horizontal="right" vertical="center"/>
    </xf>
    <xf numFmtId="0" fontId="0" fillId="3" borderId="162" xfId="0" applyFont="1" applyFill="1" applyBorder="1" applyAlignment="1" applyProtection="1">
      <alignment vertical="center"/>
    </xf>
    <xf numFmtId="0" fontId="37" fillId="3" borderId="139" xfId="0" applyFont="1" applyFill="1" applyBorder="1" applyAlignment="1" applyProtection="1">
      <alignment horizontal="right" vertical="center"/>
    </xf>
    <xf numFmtId="10" fontId="0" fillId="5" borderId="125" xfId="4" applyNumberFormat="1" applyFont="1" applyFill="1" applyBorder="1" applyAlignment="1" applyProtection="1">
      <alignment horizontal="right" vertical="center" wrapText="1"/>
      <protection locked="0"/>
    </xf>
    <xf numFmtId="0" fontId="0" fillId="3" borderId="150" xfId="0" applyFont="1" applyFill="1" applyBorder="1" applyAlignment="1" applyProtection="1">
      <alignment horizontal="left" vertical="center" wrapText="1"/>
    </xf>
    <xf numFmtId="10" fontId="0" fillId="3" borderId="162" xfId="0" applyNumberFormat="1" applyFont="1" applyFill="1" applyBorder="1" applyAlignment="1" applyProtection="1">
      <alignment horizontal="right" vertical="center"/>
    </xf>
    <xf numFmtId="10" fontId="0" fillId="3" borderId="163" xfId="0" applyNumberFormat="1" applyFont="1" applyFill="1" applyBorder="1" applyAlignment="1" applyProtection="1">
      <alignment horizontal="left" vertical="center" wrapText="1"/>
    </xf>
    <xf numFmtId="0" fontId="0" fillId="3" borderId="127" xfId="0" applyFont="1" applyFill="1" applyBorder="1" applyAlignment="1" applyProtection="1">
      <alignment horizontal="right" vertical="center" wrapText="1"/>
    </xf>
    <xf numFmtId="0" fontId="37" fillId="3" borderId="127" xfId="0" applyFont="1" applyFill="1" applyBorder="1" applyAlignment="1" applyProtection="1">
      <alignment horizontal="center" vertical="center"/>
    </xf>
    <xf numFmtId="10" fontId="0" fillId="3" borderId="164" xfId="0" applyNumberFormat="1" applyFont="1" applyFill="1" applyBorder="1" applyAlignment="1" applyProtection="1">
      <alignment horizontal="center" vertical="center" wrapText="1"/>
    </xf>
    <xf numFmtId="10" fontId="0" fillId="0" borderId="165" xfId="4" applyNumberFormat="1" applyFont="1" applyBorder="1" applyAlignment="1" applyProtection="1">
      <alignment horizontal="center" vertical="center" wrapText="1"/>
    </xf>
    <xf numFmtId="0" fontId="50" fillId="3" borderId="48" xfId="0" applyFont="1" applyFill="1" applyBorder="1" applyAlignment="1" applyProtection="1">
      <alignment vertical="center" wrapText="1"/>
    </xf>
    <xf numFmtId="0" fontId="29" fillId="0" borderId="64" xfId="0" applyFont="1" applyBorder="1" applyAlignment="1" applyProtection="1">
      <alignment horizontal="right" vertical="center"/>
    </xf>
    <xf numFmtId="0" fontId="29" fillId="6" borderId="166" xfId="0" applyFont="1" applyFill="1" applyBorder="1" applyAlignment="1" applyProtection="1">
      <alignment vertical="center"/>
    </xf>
    <xf numFmtId="10" fontId="29" fillId="6" borderId="46" xfId="4" applyNumberFormat="1" applyFont="1" applyFill="1" applyBorder="1" applyAlignment="1" applyProtection="1">
      <alignment horizontal="right" vertical="center"/>
    </xf>
    <xf numFmtId="10" fontId="29" fillId="6" borderId="46" xfId="4" applyNumberFormat="1" applyFont="1" applyFill="1" applyBorder="1" applyAlignment="1" applyProtection="1">
      <alignment vertical="center"/>
    </xf>
    <xf numFmtId="10" fontId="29" fillId="3" borderId="167" xfId="0" applyNumberFormat="1" applyFont="1" applyFill="1" applyBorder="1" applyAlignment="1" applyProtection="1">
      <alignment horizontal="center" vertical="center" wrapText="1"/>
    </xf>
    <xf numFmtId="0" fontId="0" fillId="3" borderId="42" xfId="0" applyFill="1" applyBorder="1" applyAlignment="1" applyProtection="1">
      <alignment horizontal="center" vertical="center" wrapText="1"/>
    </xf>
    <xf numFmtId="0" fontId="0" fillId="3" borderId="0" xfId="0" applyFont="1" applyFill="1" applyBorder="1" applyAlignment="1" applyProtection="1">
      <alignment vertical="center" wrapText="1"/>
    </xf>
    <xf numFmtId="10" fontId="37" fillId="3" borderId="0" xfId="4" applyNumberFormat="1" applyFont="1" applyFill="1" applyBorder="1" applyAlignment="1" applyProtection="1">
      <alignment horizontal="right" vertical="center"/>
    </xf>
    <xf numFmtId="10" fontId="0" fillId="3" borderId="0" xfId="4" applyNumberFormat="1" applyFont="1" applyFill="1" applyBorder="1" applyAlignment="1" applyProtection="1">
      <alignment horizontal="center" vertical="center"/>
    </xf>
    <xf numFmtId="0" fontId="37" fillId="3" borderId="0" xfId="0" applyFont="1" applyFill="1" applyBorder="1" applyAlignment="1" applyProtection="1">
      <alignment vertical="center" wrapText="1"/>
    </xf>
    <xf numFmtId="10" fontId="0" fillId="3" borderId="55" xfId="4" applyNumberFormat="1" applyFont="1" applyFill="1" applyBorder="1" applyAlignment="1" applyProtection="1">
      <alignment horizontal="center" vertical="center" wrapText="1"/>
    </xf>
    <xf numFmtId="0" fontId="12" fillId="3" borderId="42" xfId="0" applyFont="1" applyFill="1" applyBorder="1" applyAlignment="1" applyProtection="1">
      <alignment horizontal="left" vertical="center"/>
    </xf>
    <xf numFmtId="0" fontId="12" fillId="3" borderId="0" xfId="4" applyNumberFormat="1" applyFont="1" applyFill="1" applyBorder="1" applyAlignment="1" applyProtection="1">
      <alignment horizontal="center" vertical="center"/>
    </xf>
    <xf numFmtId="0" fontId="29" fillId="3" borderId="168" xfId="0" applyFont="1" applyFill="1" applyBorder="1" applyAlignment="1" applyProtection="1">
      <alignment horizontal="center" vertical="center" wrapText="1"/>
    </xf>
    <xf numFmtId="10" fontId="12" fillId="0" borderId="5" xfId="4" applyNumberFormat="1" applyFont="1" applyBorder="1" applyAlignment="1" applyProtection="1">
      <alignment horizontal="center" vertical="center"/>
    </xf>
    <xf numFmtId="0" fontId="0" fillId="3" borderId="0" xfId="0" applyFill="1" applyBorder="1" applyAlignment="1" applyProtection="1">
      <alignment wrapText="1"/>
    </xf>
    <xf numFmtId="0" fontId="52" fillId="3" borderId="0" xfId="0" applyFont="1" applyFill="1" applyAlignment="1" applyProtection="1">
      <alignment vertical="center"/>
    </xf>
    <xf numFmtId="10" fontId="12" fillId="3" borderId="169" xfId="0" applyNumberFormat="1" applyFont="1" applyFill="1" applyBorder="1" applyAlignment="1" applyProtection="1">
      <alignment horizontal="center" vertical="center" wrapText="1"/>
    </xf>
    <xf numFmtId="10" fontId="12" fillId="3" borderId="62" xfId="4" applyNumberFormat="1" applyFont="1" applyFill="1" applyBorder="1" applyAlignment="1" applyProtection="1">
      <alignment horizontal="center" vertical="center" wrapText="1"/>
    </xf>
    <xf numFmtId="10" fontId="0" fillId="3" borderId="0" xfId="0" applyNumberFormat="1" applyFont="1" applyFill="1" applyBorder="1" applyAlignment="1" applyProtection="1">
      <alignment horizontal="center" vertical="center" wrapText="1"/>
    </xf>
    <xf numFmtId="10" fontId="0" fillId="3" borderId="0" xfId="4" applyNumberFormat="1" applyFont="1" applyFill="1" applyBorder="1" applyAlignment="1" applyProtection="1">
      <alignment horizontal="center" vertical="center" wrapText="1"/>
    </xf>
    <xf numFmtId="10" fontId="37" fillId="3" borderId="45" xfId="4" applyNumberFormat="1" applyFont="1" applyFill="1" applyBorder="1" applyAlignment="1" applyProtection="1">
      <alignment horizontal="right" vertical="center"/>
    </xf>
    <xf numFmtId="0" fontId="0" fillId="3" borderId="49" xfId="0" applyFill="1" applyBorder="1" applyAlignment="1" applyProtection="1">
      <alignment horizontal="center" vertical="center" wrapText="1"/>
    </xf>
    <xf numFmtId="0" fontId="12" fillId="3" borderId="50" xfId="0" applyFont="1" applyFill="1" applyBorder="1" applyAlignment="1" applyProtection="1">
      <alignment vertical="center"/>
    </xf>
    <xf numFmtId="0" fontId="12" fillId="3" borderId="50" xfId="0" applyFont="1" applyFill="1" applyBorder="1" applyAlignment="1" applyProtection="1">
      <alignment vertical="center" wrapText="1"/>
    </xf>
    <xf numFmtId="0" fontId="5" fillId="3" borderId="50" xfId="0" applyFont="1" applyFill="1" applyBorder="1" applyAlignment="1" applyProtection="1">
      <alignment horizontal="right" vertical="center"/>
    </xf>
    <xf numFmtId="0" fontId="0" fillId="3" borderId="0" xfId="0" applyFill="1" applyAlignment="1" applyProtection="1">
      <alignment wrapText="1"/>
    </xf>
    <xf numFmtId="0" fontId="0" fillId="3" borderId="0" xfId="0" applyFill="1" applyAlignment="1" applyProtection="1">
      <alignment vertical="center" wrapText="1"/>
    </xf>
    <xf numFmtId="10" fontId="0" fillId="3" borderId="0" xfId="4" applyNumberFormat="1" applyFont="1" applyFill="1" applyBorder="1" applyAlignment="1" applyProtection="1">
      <alignment vertical="center" wrapText="1"/>
    </xf>
    <xf numFmtId="4" fontId="1" fillId="3" borderId="0" xfId="4" applyNumberFormat="1" applyFont="1" applyFill="1" applyBorder="1" applyProtection="1"/>
    <xf numFmtId="0" fontId="12" fillId="3" borderId="0" xfId="0" applyFont="1" applyFill="1" applyAlignment="1" applyProtection="1">
      <alignment horizontal="right" vertical="center"/>
    </xf>
    <xf numFmtId="0" fontId="28" fillId="3" borderId="0" xfId="0" applyFont="1" applyFill="1" applyAlignment="1" applyProtection="1">
      <alignment horizontal="left" vertical="center"/>
    </xf>
    <xf numFmtId="0" fontId="0" fillId="3" borderId="0" xfId="0" applyFont="1" applyFill="1" applyAlignment="1" applyProtection="1">
      <alignment horizontal="left" vertical="center"/>
    </xf>
    <xf numFmtId="0" fontId="0" fillId="3" borderId="0" xfId="0" applyFont="1" applyFill="1" applyAlignment="1" applyProtection="1">
      <alignment wrapText="1"/>
    </xf>
    <xf numFmtId="0" fontId="0" fillId="0" borderId="0" xfId="0" applyFont="1" applyAlignment="1" applyProtection="1">
      <alignment wrapText="1"/>
    </xf>
    <xf numFmtId="0" fontId="12" fillId="3" borderId="0" xfId="0" applyFont="1" applyFill="1" applyAlignment="1" applyProtection="1">
      <alignment vertical="center"/>
    </xf>
    <xf numFmtId="0" fontId="0" fillId="3" borderId="0" xfId="0" applyFont="1" applyFill="1" applyAlignment="1" applyProtection="1">
      <alignment vertical="center"/>
    </xf>
    <xf numFmtId="0" fontId="0" fillId="3" borderId="0" xfId="0" applyFill="1" applyAlignment="1" applyProtection="1">
      <alignment vertical="center"/>
    </xf>
    <xf numFmtId="0" fontId="0" fillId="3" borderId="0" xfId="0" applyFont="1" applyFill="1" applyAlignment="1" applyProtection="1">
      <alignment horizontal="right" vertical="top" wrapText="1"/>
    </xf>
    <xf numFmtId="0" fontId="53" fillId="3" borderId="0" xfId="0" applyFont="1" applyFill="1" applyAlignment="1">
      <alignment vertical="center"/>
    </xf>
    <xf numFmtId="0" fontId="0" fillId="3" borderId="0" xfId="0" applyFont="1" applyFill="1"/>
    <xf numFmtId="0" fontId="54" fillId="3" borderId="0" xfId="0" applyFont="1" applyFill="1" applyAlignment="1">
      <alignment vertical="center"/>
    </xf>
    <xf numFmtId="0" fontId="55" fillId="5" borderId="168" xfId="0" applyFont="1" applyFill="1" applyBorder="1" applyAlignment="1">
      <alignment horizontal="justify" vertical="center" wrapText="1"/>
    </xf>
    <xf numFmtId="0" fontId="55" fillId="0" borderId="23" xfId="0" applyFont="1" applyBorder="1" applyAlignment="1">
      <alignment horizontal="justify" vertical="center"/>
    </xf>
    <xf numFmtId="0" fontId="55" fillId="5" borderId="23" xfId="0" applyFont="1" applyFill="1" applyBorder="1" applyAlignment="1">
      <alignment horizontal="justify" vertical="center" wrapText="1"/>
    </xf>
    <xf numFmtId="0" fontId="55" fillId="0" borderId="23" xfId="0" applyFont="1" applyBorder="1" applyAlignment="1">
      <alignment horizontal="justify" vertical="center" wrapText="1"/>
    </xf>
    <xf numFmtId="0" fontId="55" fillId="0" borderId="169" xfId="0" applyFont="1" applyBorder="1" applyAlignment="1">
      <alignment horizontal="justify" vertical="center" wrapText="1"/>
    </xf>
    <xf numFmtId="0" fontId="0" fillId="3" borderId="19" xfId="0" applyFont="1" applyFill="1" applyBorder="1" applyAlignment="1" applyProtection="1">
      <alignment horizontal="right" vertical="center"/>
    </xf>
    <xf numFmtId="0" fontId="0" fillId="3" borderId="21" xfId="0" applyFont="1" applyFill="1" applyBorder="1" applyAlignment="1" applyProtection="1">
      <alignment horizontal="right" vertical="center"/>
    </xf>
    <xf numFmtId="0" fontId="29" fillId="3" borderId="21" xfId="0" applyFont="1" applyFill="1" applyBorder="1" applyAlignment="1" applyProtection="1">
      <alignment horizontal="right" vertical="center"/>
    </xf>
    <xf numFmtId="185" fontId="0" fillId="3" borderId="21" xfId="0" applyNumberFormat="1" applyFont="1" applyFill="1" applyBorder="1" applyAlignment="1" applyProtection="1">
      <alignment horizontal="left" vertical="center"/>
    </xf>
    <xf numFmtId="0" fontId="0" fillId="0" borderId="52" xfId="0" applyFont="1" applyBorder="1" applyAlignment="1" applyProtection="1">
      <alignment vertical="center"/>
    </xf>
    <xf numFmtId="0" fontId="0" fillId="0" borderId="21" xfId="0" applyFont="1" applyBorder="1" applyAlignment="1" applyProtection="1">
      <alignment vertical="center"/>
    </xf>
    <xf numFmtId="4" fontId="0" fillId="3" borderId="51" xfId="0" applyNumberFormat="1" applyFont="1" applyFill="1" applyBorder="1" applyAlignment="1" applyProtection="1">
      <alignment horizontal="left" vertical="center"/>
    </xf>
    <xf numFmtId="4" fontId="0" fillId="3" borderId="22" xfId="0" applyNumberFormat="1" applyFont="1" applyFill="1" applyBorder="1" applyAlignment="1" applyProtection="1">
      <alignment horizontal="left" vertical="center"/>
    </xf>
    <xf numFmtId="0" fontId="0" fillId="3" borderId="25" xfId="0" applyFont="1" applyFill="1" applyBorder="1" applyAlignment="1" applyProtection="1">
      <alignment vertical="center" wrapText="1"/>
    </xf>
    <xf numFmtId="0" fontId="0" fillId="3" borderId="26" xfId="0" applyFont="1" applyFill="1" applyBorder="1" applyAlignment="1" applyProtection="1">
      <alignment vertical="center" wrapText="1"/>
    </xf>
    <xf numFmtId="0" fontId="0" fillId="3" borderId="48" xfId="0" applyFont="1" applyFill="1" applyBorder="1" applyProtection="1"/>
    <xf numFmtId="0" fontId="0" fillId="3" borderId="46" xfId="0" applyFont="1" applyFill="1" applyBorder="1" applyProtection="1"/>
    <xf numFmtId="0" fontId="0" fillId="3" borderId="46" xfId="0" applyFont="1" applyFill="1" applyBorder="1" applyAlignment="1" applyProtection="1">
      <alignment horizontal="right" vertical="center"/>
    </xf>
    <xf numFmtId="10" fontId="12" fillId="5" borderId="46" xfId="0" applyNumberFormat="1" applyFont="1" applyFill="1" applyBorder="1" applyAlignment="1" applyProtection="1">
      <alignment vertical="center" wrapText="1"/>
      <protection locked="0"/>
    </xf>
    <xf numFmtId="0" fontId="0" fillId="0" borderId="64" xfId="0" applyFont="1" applyBorder="1" applyProtection="1"/>
    <xf numFmtId="0" fontId="0" fillId="0" borderId="46" xfId="0" applyFont="1" applyBorder="1" applyProtection="1"/>
    <xf numFmtId="0" fontId="0" fillId="3" borderId="47" xfId="0" applyFont="1" applyFill="1" applyBorder="1" applyProtection="1"/>
    <xf numFmtId="0" fontId="0" fillId="3" borderId="44" xfId="0" applyFont="1" applyFill="1" applyBorder="1" applyAlignment="1" applyProtection="1">
      <alignment vertical="center" wrapText="1"/>
    </xf>
    <xf numFmtId="0" fontId="0" fillId="3" borderId="45" xfId="0" applyFont="1" applyFill="1" applyBorder="1" applyAlignment="1" applyProtection="1">
      <alignment vertical="center" wrapText="1"/>
    </xf>
    <xf numFmtId="0" fontId="0" fillId="3" borderId="170" xfId="0" applyFont="1" applyFill="1" applyBorder="1" applyAlignment="1" applyProtection="1">
      <alignment horizontal="center" vertical="center" wrapText="1"/>
    </xf>
    <xf numFmtId="0" fontId="0" fillId="3" borderId="172" xfId="0" applyFont="1" applyFill="1" applyBorder="1" applyAlignment="1" applyProtection="1">
      <alignment horizontal="center" vertical="center" wrapText="1"/>
    </xf>
    <xf numFmtId="0" fontId="0" fillId="3" borderId="62" xfId="0" applyFont="1" applyFill="1" applyBorder="1" applyAlignment="1" applyProtection="1">
      <alignment horizontal="center" vertical="center" wrapText="1"/>
    </xf>
    <xf numFmtId="0" fontId="0" fillId="3" borderId="166" xfId="0" applyFont="1" applyFill="1" applyBorder="1" applyAlignment="1" applyProtection="1">
      <alignment horizontal="center" vertical="center" wrapText="1"/>
    </xf>
    <xf numFmtId="0" fontId="0" fillId="3" borderId="63" xfId="0" applyFont="1" applyFill="1" applyBorder="1" applyAlignment="1" applyProtection="1">
      <alignment horizontal="center" vertical="center" wrapText="1"/>
    </xf>
    <xf numFmtId="0" fontId="0" fillId="3" borderId="19" xfId="0" applyFont="1" applyFill="1" applyBorder="1" applyProtection="1"/>
    <xf numFmtId="0" fontId="0" fillId="3" borderId="21" xfId="0" applyFont="1" applyFill="1" applyBorder="1" applyProtection="1"/>
    <xf numFmtId="0" fontId="0" fillId="3" borderId="21" xfId="0" applyFont="1" applyFill="1" applyBorder="1" applyAlignment="1" applyProtection="1">
      <alignment horizontal="justify" vertical="center"/>
    </xf>
    <xf numFmtId="0" fontId="0" fillId="3" borderId="22" xfId="0" applyFont="1" applyFill="1" applyBorder="1" applyProtection="1"/>
    <xf numFmtId="0" fontId="46" fillId="3" borderId="37" xfId="0" applyFont="1" applyFill="1" applyBorder="1" applyAlignment="1" applyProtection="1">
      <alignment horizontal="right" vertical="center"/>
    </xf>
    <xf numFmtId="0" fontId="46" fillId="3" borderId="12" xfId="0" applyFont="1" applyFill="1" applyBorder="1" applyAlignment="1" applyProtection="1">
      <alignment horizontal="left" vertical="center"/>
    </xf>
    <xf numFmtId="0" fontId="30" fillId="3" borderId="43" xfId="0" applyFont="1" applyFill="1" applyBorder="1" applyAlignment="1" applyProtection="1">
      <alignment horizontal="justify" vertical="center" wrapText="1"/>
    </xf>
    <xf numFmtId="185" fontId="0" fillId="6" borderId="2" xfId="0" applyNumberFormat="1" applyFont="1" applyFill="1" applyBorder="1" applyAlignment="1" applyProtection="1">
      <alignment vertical="center"/>
    </xf>
    <xf numFmtId="4" fontId="0" fillId="3" borderId="61" xfId="0" applyNumberFormat="1" applyFont="1" applyFill="1" applyBorder="1" applyAlignment="1" applyProtection="1">
      <alignment vertical="center"/>
    </xf>
    <xf numFmtId="4" fontId="0" fillId="3" borderId="11" xfId="0" applyNumberFormat="1" applyFont="1" applyFill="1" applyBorder="1" applyAlignment="1" applyProtection="1">
      <alignment vertical="center"/>
    </xf>
    <xf numFmtId="185" fontId="0" fillId="3" borderId="11" xfId="0" applyNumberFormat="1" applyFont="1" applyFill="1" applyBorder="1" applyAlignment="1" applyProtection="1">
      <alignment vertical="center"/>
    </xf>
    <xf numFmtId="10" fontId="0" fillId="3" borderId="11" xfId="4" applyNumberFormat="1" applyFont="1" applyFill="1" applyBorder="1" applyAlignment="1" applyProtection="1">
      <alignment vertical="center"/>
    </xf>
    <xf numFmtId="4" fontId="0" fillId="3" borderId="11" xfId="0" applyNumberFormat="1" applyFont="1" applyFill="1" applyBorder="1" applyAlignment="1" applyProtection="1">
      <alignment horizontal="center" vertical="center"/>
    </xf>
    <xf numFmtId="185" fontId="0" fillId="6" borderId="6" xfId="0" applyNumberFormat="1" applyFont="1" applyFill="1" applyBorder="1" applyAlignment="1" applyProtection="1">
      <alignment vertical="center"/>
    </xf>
    <xf numFmtId="185" fontId="0" fillId="6" borderId="8" xfId="0" applyNumberFormat="1" applyFont="1" applyFill="1" applyBorder="1" applyAlignment="1" applyProtection="1">
      <alignment vertical="center"/>
    </xf>
    <xf numFmtId="185" fontId="0" fillId="3" borderId="61" xfId="0" applyNumberFormat="1" applyFont="1" applyFill="1" applyBorder="1" applyAlignment="1" applyProtection="1">
      <alignment vertical="center"/>
    </xf>
    <xf numFmtId="185" fontId="0" fillId="3" borderId="5" xfId="0" applyNumberFormat="1" applyFont="1" applyFill="1" applyBorder="1" applyAlignment="1" applyProtection="1">
      <alignment vertical="center"/>
    </xf>
    <xf numFmtId="185" fontId="0" fillId="3" borderId="171" xfId="0" applyNumberFormat="1" applyFont="1" applyFill="1" applyBorder="1" applyAlignment="1" applyProtection="1">
      <alignment vertical="center"/>
    </xf>
    <xf numFmtId="0" fontId="46" fillId="3" borderId="38" xfId="0" applyFont="1" applyFill="1" applyBorder="1" applyAlignment="1" applyProtection="1">
      <alignment horizontal="right" vertical="center"/>
    </xf>
    <xf numFmtId="0" fontId="46" fillId="3" borderId="157" xfId="0" applyFont="1" applyFill="1" applyBorder="1" applyAlignment="1" applyProtection="1">
      <alignment horizontal="left" vertical="center"/>
    </xf>
    <xf numFmtId="185" fontId="0" fillId="6" borderId="61" xfId="0" applyNumberFormat="1" applyFont="1" applyFill="1" applyBorder="1" applyAlignment="1" applyProtection="1">
      <alignment vertical="center"/>
    </xf>
    <xf numFmtId="4" fontId="0" fillId="3" borderId="5" xfId="0" applyNumberFormat="1" applyFont="1" applyFill="1" applyBorder="1" applyAlignment="1" applyProtection="1">
      <alignment vertical="center" wrapText="1"/>
    </xf>
    <xf numFmtId="4" fontId="0" fillId="3" borderId="43" xfId="0" applyNumberFormat="1" applyFont="1" applyFill="1" applyBorder="1" applyAlignment="1" applyProtection="1">
      <alignment vertical="center" wrapText="1"/>
    </xf>
    <xf numFmtId="185" fontId="0" fillId="3" borderId="43" xfId="0" applyNumberFormat="1" applyFont="1" applyFill="1" applyBorder="1" applyAlignment="1" applyProtection="1">
      <alignment vertical="center" wrapText="1"/>
    </xf>
    <xf numFmtId="185" fontId="0" fillId="6" borderId="43" xfId="0" applyNumberFormat="1" applyFont="1" applyFill="1" applyBorder="1" applyAlignment="1" applyProtection="1">
      <alignment vertical="center"/>
    </xf>
    <xf numFmtId="185" fontId="0" fillId="6" borderId="157" xfId="0" applyNumberFormat="1" applyFont="1" applyFill="1" applyBorder="1" applyAlignment="1" applyProtection="1">
      <alignment vertical="center"/>
    </xf>
    <xf numFmtId="4" fontId="0" fillId="3" borderId="43" xfId="0" applyNumberFormat="1" applyFont="1" applyFill="1" applyBorder="1" applyAlignment="1" applyProtection="1">
      <alignment horizontal="center" vertical="center" wrapText="1"/>
    </xf>
    <xf numFmtId="185" fontId="0" fillId="6" borderId="9" xfId="0" applyNumberFormat="1" applyFont="1" applyFill="1" applyBorder="1" applyAlignment="1" applyProtection="1">
      <alignment vertical="center"/>
    </xf>
    <xf numFmtId="185" fontId="0" fillId="6" borderId="10" xfId="0" applyNumberFormat="1" applyFont="1" applyFill="1" applyBorder="1" applyAlignment="1" applyProtection="1">
      <alignment vertical="center"/>
    </xf>
    <xf numFmtId="185" fontId="0" fillId="6" borderId="3" xfId="0" applyNumberFormat="1" applyFont="1" applyFill="1" applyBorder="1" applyAlignment="1" applyProtection="1">
      <alignment vertical="center" wrapText="1"/>
    </xf>
    <xf numFmtId="4" fontId="0" fillId="3" borderId="5" xfId="0" applyNumberFormat="1" applyFont="1" applyFill="1" applyBorder="1" applyAlignment="1" applyProtection="1">
      <alignment vertical="center"/>
    </xf>
    <xf numFmtId="4" fontId="0" fillId="3" borderId="43" xfId="0" applyNumberFormat="1" applyFont="1" applyFill="1" applyBorder="1" applyAlignment="1" applyProtection="1">
      <alignment vertical="center"/>
    </xf>
    <xf numFmtId="185" fontId="0" fillId="3" borderId="43" xfId="0" applyNumberFormat="1" applyFont="1" applyFill="1" applyBorder="1" applyAlignment="1" applyProtection="1">
      <alignment vertical="center"/>
    </xf>
    <xf numFmtId="10" fontId="0" fillId="3" borderId="43" xfId="4" applyNumberFormat="1" applyFont="1" applyFill="1" applyBorder="1" applyAlignment="1" applyProtection="1">
      <alignment vertical="center"/>
    </xf>
    <xf numFmtId="4" fontId="0" fillId="3" borderId="43" xfId="0" applyNumberFormat="1" applyFont="1" applyFill="1" applyBorder="1" applyAlignment="1" applyProtection="1">
      <alignment horizontal="center" vertical="center"/>
    </xf>
    <xf numFmtId="185" fontId="0" fillId="6" borderId="3" xfId="0" applyNumberFormat="1" applyFont="1" applyFill="1" applyBorder="1" applyAlignment="1" applyProtection="1">
      <alignment vertical="center"/>
    </xf>
    <xf numFmtId="10" fontId="0" fillId="3" borderId="43" xfId="4" applyNumberFormat="1" applyFont="1" applyFill="1" applyBorder="1" applyAlignment="1" applyProtection="1">
      <alignment vertical="center" wrapText="1"/>
    </xf>
    <xf numFmtId="185" fontId="0" fillId="6" borderId="5" xfId="0" applyNumberFormat="1" applyFont="1" applyFill="1" applyBorder="1" applyAlignment="1" applyProtection="1">
      <alignment vertical="center"/>
    </xf>
    <xf numFmtId="185" fontId="0" fillId="6" borderId="11" xfId="0" applyNumberFormat="1" applyFont="1" applyFill="1" applyBorder="1" applyAlignment="1" applyProtection="1">
      <alignment vertical="center"/>
    </xf>
    <xf numFmtId="185" fontId="0" fillId="6" borderId="12" xfId="0" applyNumberFormat="1" applyFont="1" applyFill="1" applyBorder="1" applyAlignment="1" applyProtection="1">
      <alignment vertical="center"/>
    </xf>
    <xf numFmtId="4" fontId="30" fillId="3" borderId="11" xfId="0" applyNumberFormat="1" applyFont="1" applyFill="1" applyBorder="1" applyAlignment="1" applyProtection="1">
      <alignment horizontal="center" vertical="center" wrapText="1"/>
    </xf>
    <xf numFmtId="185" fontId="0" fillId="0" borderId="61" xfId="0" applyNumberFormat="1" applyFont="1" applyBorder="1" applyAlignment="1" applyProtection="1">
      <alignment vertical="center"/>
    </xf>
    <xf numFmtId="185" fontId="0" fillId="6" borderId="7" xfId="0" applyNumberFormat="1" applyFont="1" applyFill="1" applyBorder="1" applyAlignment="1" applyProtection="1">
      <alignment vertical="center"/>
    </xf>
    <xf numFmtId="0" fontId="46" fillId="3" borderId="5" xfId="0" applyFont="1" applyFill="1" applyBorder="1" applyAlignment="1" applyProtection="1">
      <alignment horizontal="left" vertical="center"/>
    </xf>
    <xf numFmtId="4" fontId="0" fillId="6" borderId="43" xfId="0" applyNumberFormat="1" applyFont="1" applyFill="1" applyBorder="1" applyAlignment="1" applyProtection="1">
      <alignment vertical="center"/>
    </xf>
    <xf numFmtId="4" fontId="0" fillId="6" borderId="4" xfId="0" applyNumberFormat="1" applyFont="1" applyFill="1" applyBorder="1" applyAlignment="1" applyProtection="1">
      <alignment vertical="center"/>
    </xf>
    <xf numFmtId="185" fontId="0" fillId="6" borderId="4" xfId="0" applyNumberFormat="1" applyFont="1" applyFill="1" applyBorder="1" applyAlignment="1" applyProtection="1">
      <alignment vertical="center"/>
    </xf>
    <xf numFmtId="10" fontId="0" fillId="6" borderId="4" xfId="4" applyNumberFormat="1" applyFont="1" applyFill="1" applyBorder="1" applyAlignment="1" applyProtection="1">
      <alignment vertical="center"/>
    </xf>
    <xf numFmtId="4" fontId="0" fillId="6" borderId="4" xfId="0" applyNumberFormat="1" applyFont="1" applyFill="1" applyBorder="1" applyAlignment="1" applyProtection="1">
      <alignment horizontal="center" vertical="center"/>
    </xf>
    <xf numFmtId="4" fontId="30" fillId="6" borderId="1" xfId="0" applyNumberFormat="1" applyFont="1" applyFill="1" applyBorder="1" applyAlignment="1" applyProtection="1">
      <alignment horizontal="center" vertical="center" wrapText="1"/>
    </xf>
    <xf numFmtId="185" fontId="0" fillId="6" borderId="1" xfId="0" applyNumberFormat="1" applyFont="1" applyFill="1" applyBorder="1" applyAlignment="1" applyProtection="1">
      <alignment vertical="center"/>
    </xf>
    <xf numFmtId="185" fontId="0" fillId="6" borderId="1" xfId="0" applyNumberFormat="1" applyFont="1" applyFill="1" applyBorder="1" applyAlignment="1" applyProtection="1">
      <alignment horizontal="right" vertical="center" wrapText="1"/>
    </xf>
    <xf numFmtId="185" fontId="0" fillId="0" borderId="43" xfId="0" applyNumberFormat="1" applyFont="1" applyBorder="1" applyAlignment="1" applyProtection="1">
      <alignment horizontal="right" vertical="center" wrapText="1"/>
    </xf>
    <xf numFmtId="4" fontId="0" fillId="0" borderId="5" xfId="0" applyNumberFormat="1" applyFont="1" applyBorder="1" applyAlignment="1" applyProtection="1">
      <alignment vertical="center"/>
    </xf>
    <xf numFmtId="4" fontId="0" fillId="0" borderId="43" xfId="0" applyNumberFormat="1" applyFont="1" applyBorder="1" applyAlignment="1" applyProtection="1">
      <alignment vertical="center"/>
    </xf>
    <xf numFmtId="185" fontId="0" fillId="0" borderId="43" xfId="0" applyNumberFormat="1" applyFont="1" applyBorder="1" applyAlignment="1" applyProtection="1">
      <alignment vertical="center"/>
    </xf>
    <xf numFmtId="10" fontId="0" fillId="0" borderId="43" xfId="4" applyNumberFormat="1" applyFont="1" applyBorder="1" applyAlignment="1" applyProtection="1">
      <alignment vertical="center"/>
    </xf>
    <xf numFmtId="4" fontId="0" fillId="0" borderId="43" xfId="0" applyNumberFormat="1" applyFont="1" applyBorder="1" applyAlignment="1" applyProtection="1">
      <alignment horizontal="center" vertical="center"/>
    </xf>
    <xf numFmtId="4" fontId="30" fillId="3" borderId="43" xfId="0" applyNumberFormat="1" applyFont="1" applyFill="1" applyBorder="1" applyAlignment="1" applyProtection="1">
      <alignment horizontal="center" vertical="center" wrapText="1"/>
    </xf>
    <xf numFmtId="185" fontId="0" fillId="0" borderId="5" xfId="0" applyNumberFormat="1" applyFont="1" applyBorder="1" applyAlignment="1" applyProtection="1">
      <alignment vertical="center"/>
    </xf>
    <xf numFmtId="185" fontId="0" fillId="3" borderId="24" xfId="0" applyNumberFormat="1" applyFont="1" applyFill="1" applyBorder="1" applyAlignment="1" applyProtection="1">
      <alignment vertical="center"/>
    </xf>
    <xf numFmtId="49" fontId="46" fillId="3" borderId="157" xfId="0" applyNumberFormat="1" applyFont="1" applyFill="1" applyBorder="1" applyAlignment="1" applyProtection="1">
      <alignment horizontal="left" vertical="center"/>
    </xf>
    <xf numFmtId="0" fontId="30" fillId="0" borderId="43" xfId="0" applyFont="1" applyBorder="1" applyAlignment="1" applyProtection="1">
      <alignment horizontal="justify" vertical="center" wrapText="1"/>
    </xf>
    <xf numFmtId="4" fontId="0" fillId="0" borderId="5" xfId="0" applyNumberFormat="1" applyFont="1" applyBorder="1" applyAlignment="1" applyProtection="1">
      <alignment horizontal="center" vertical="center" wrapText="1"/>
    </xf>
    <xf numFmtId="4" fontId="0" fillId="3" borderId="5" xfId="0" applyNumberFormat="1" applyFont="1" applyFill="1" applyBorder="1" applyAlignment="1" applyProtection="1">
      <alignment horizontal="right" vertical="center" wrapText="1"/>
    </xf>
    <xf numFmtId="185" fontId="0" fillId="3" borderId="5" xfId="0" applyNumberFormat="1" applyFont="1" applyFill="1" applyBorder="1" applyAlignment="1" applyProtection="1">
      <alignment horizontal="right" vertical="center" wrapText="1"/>
    </xf>
    <xf numFmtId="10" fontId="0" fillId="3" borderId="5" xfId="4" applyNumberFormat="1" applyFont="1" applyFill="1" applyBorder="1" applyAlignment="1" applyProtection="1">
      <alignment horizontal="right" vertical="center" wrapText="1"/>
    </xf>
    <xf numFmtId="4" fontId="0" fillId="3" borderId="5" xfId="0" applyNumberFormat="1" applyFont="1" applyFill="1" applyBorder="1" applyAlignment="1" applyProtection="1">
      <alignment horizontal="center" vertical="center" wrapText="1"/>
    </xf>
    <xf numFmtId="185" fontId="0" fillId="3" borderId="43" xfId="0" applyNumberFormat="1" applyFont="1" applyFill="1" applyBorder="1" applyAlignment="1" applyProtection="1">
      <alignment horizontal="right" vertical="center" wrapText="1"/>
    </xf>
    <xf numFmtId="4" fontId="0" fillId="3" borderId="2" xfId="0" applyNumberFormat="1" applyFont="1" applyFill="1" applyBorder="1" applyAlignment="1" applyProtection="1">
      <alignment horizontal="center" vertical="center" wrapText="1"/>
    </xf>
    <xf numFmtId="4" fontId="0" fillId="3" borderId="6" xfId="0" applyNumberFormat="1" applyFont="1" applyFill="1" applyBorder="1" applyAlignment="1" applyProtection="1">
      <alignment horizontal="center" vertical="center" wrapText="1"/>
    </xf>
    <xf numFmtId="185" fontId="0" fillId="6" borderId="0" xfId="0" applyNumberFormat="1" applyFont="1" applyFill="1" applyBorder="1" applyAlignment="1" applyProtection="1">
      <alignment vertical="center"/>
    </xf>
    <xf numFmtId="4" fontId="0" fillId="6" borderId="11" xfId="0" applyNumberFormat="1" applyFont="1" applyFill="1" applyBorder="1" applyAlignment="1" applyProtection="1">
      <alignment vertical="center"/>
    </xf>
    <xf numFmtId="4" fontId="0" fillId="6" borderId="1" xfId="0" applyNumberFormat="1" applyFont="1" applyFill="1" applyBorder="1" applyAlignment="1" applyProtection="1">
      <alignment horizontal="center" vertical="center"/>
    </xf>
    <xf numFmtId="0" fontId="0" fillId="3" borderId="46" xfId="0" applyFont="1" applyFill="1" applyBorder="1" applyAlignment="1" applyProtection="1">
      <alignment horizontal="justify" vertical="center"/>
    </xf>
    <xf numFmtId="4" fontId="0" fillId="3" borderId="46" xfId="0" applyNumberFormat="1" applyFont="1" applyFill="1" applyBorder="1" applyAlignment="1" applyProtection="1">
      <alignment vertical="center"/>
    </xf>
    <xf numFmtId="185" fontId="0" fillId="3" borderId="46" xfId="0" applyNumberFormat="1" applyFont="1" applyFill="1" applyBorder="1" applyAlignment="1" applyProtection="1">
      <alignment vertical="center"/>
    </xf>
    <xf numFmtId="10" fontId="0" fillId="3" borderId="46" xfId="0" applyNumberFormat="1" applyFont="1" applyFill="1" applyBorder="1" applyAlignment="1" applyProtection="1">
      <alignment vertical="center"/>
    </xf>
    <xf numFmtId="4" fontId="0" fillId="3" borderId="46" xfId="0" applyNumberFormat="1" applyFont="1" applyFill="1" applyBorder="1" applyAlignment="1" applyProtection="1">
      <alignment horizontal="center" vertical="center"/>
    </xf>
    <xf numFmtId="4" fontId="30" fillId="3" borderId="47" xfId="0" applyNumberFormat="1" applyFont="1" applyFill="1" applyBorder="1" applyAlignment="1" applyProtection="1">
      <alignment vertical="center"/>
    </xf>
    <xf numFmtId="4" fontId="0" fillId="3" borderId="0" xfId="0" applyNumberFormat="1" applyFont="1" applyFill="1" applyProtection="1"/>
    <xf numFmtId="0" fontId="29" fillId="3" borderId="0" xfId="0" applyFont="1" applyFill="1" applyAlignment="1" applyProtection="1">
      <alignment vertical="center"/>
    </xf>
    <xf numFmtId="0" fontId="37" fillId="3" borderId="0" xfId="0" applyFont="1" applyFill="1" applyProtection="1"/>
    <xf numFmtId="4" fontId="37" fillId="3" borderId="0" xfId="0" applyNumberFormat="1" applyFont="1" applyFill="1" applyProtection="1"/>
    <xf numFmtId="0" fontId="29" fillId="3" borderId="0" xfId="0" applyFont="1" applyFill="1" applyAlignment="1" applyProtection="1">
      <alignment vertical="top"/>
    </xf>
    <xf numFmtId="0" fontId="2" fillId="0" borderId="0" xfId="0" applyFont="1" applyProtection="1"/>
    <xf numFmtId="0" fontId="2" fillId="3" borderId="0" xfId="0" applyFont="1" applyFill="1" applyProtection="1"/>
    <xf numFmtId="0" fontId="58" fillId="3" borderId="0" xfId="0" applyFont="1" applyFill="1" applyBorder="1" applyAlignment="1" applyProtection="1">
      <alignment vertical="center"/>
    </xf>
    <xf numFmtId="0" fontId="2" fillId="3" borderId="21" xfId="0" applyFont="1" applyFill="1" applyBorder="1" applyAlignment="1" applyProtection="1">
      <alignment horizontal="center" vertical="center"/>
    </xf>
    <xf numFmtId="0" fontId="2" fillId="3" borderId="46" xfId="0" applyFont="1" applyFill="1" applyBorder="1" applyAlignment="1" applyProtection="1">
      <alignment horizontal="center" vertical="center" wrapText="1"/>
    </xf>
    <xf numFmtId="0" fontId="2" fillId="3" borderId="170" xfId="0" applyFont="1" applyFill="1" applyBorder="1" applyAlignment="1" applyProtection="1">
      <alignment horizontal="center" vertical="center"/>
    </xf>
    <xf numFmtId="0" fontId="2" fillId="3" borderId="170" xfId="0" applyFont="1" applyFill="1" applyBorder="1" applyAlignment="1" applyProtection="1">
      <alignment horizontal="center" vertical="center" wrapText="1"/>
    </xf>
    <xf numFmtId="0" fontId="2" fillId="3" borderId="62" xfId="0" applyFont="1" applyFill="1" applyBorder="1" applyAlignment="1" applyProtection="1">
      <alignment horizontal="center" vertical="center" wrapText="1"/>
    </xf>
    <xf numFmtId="0" fontId="2" fillId="3" borderId="19" xfId="0" applyFont="1" applyFill="1" applyBorder="1" applyProtection="1"/>
    <xf numFmtId="0" fontId="2" fillId="3" borderId="21" xfId="0" applyFont="1" applyFill="1" applyBorder="1" applyProtection="1"/>
    <xf numFmtId="0" fontId="2" fillId="3" borderId="21" xfId="0" applyFont="1" applyFill="1" applyBorder="1" applyAlignment="1" applyProtection="1">
      <alignment horizontal="justify" vertical="center"/>
    </xf>
    <xf numFmtId="4" fontId="2" fillId="3" borderId="21" xfId="0" applyNumberFormat="1" applyFont="1" applyFill="1" applyBorder="1" applyAlignment="1" applyProtection="1">
      <alignment horizontal="center" vertical="center"/>
    </xf>
    <xf numFmtId="0" fontId="2" fillId="3" borderId="21" xfId="0" applyFont="1" applyFill="1" applyBorder="1" applyAlignment="1" applyProtection="1">
      <alignment vertical="center"/>
    </xf>
    <xf numFmtId="186" fontId="2" fillId="3" borderId="21" xfId="0" applyNumberFormat="1" applyFont="1" applyFill="1" applyBorder="1" applyAlignment="1" applyProtection="1">
      <alignment horizontal="center" vertical="center"/>
    </xf>
    <xf numFmtId="185" fontId="2" fillId="3" borderId="21" xfId="0" applyNumberFormat="1" applyFont="1" applyFill="1" applyBorder="1" applyAlignment="1" applyProtection="1">
      <alignment horizontal="right" vertical="center"/>
    </xf>
    <xf numFmtId="185" fontId="2" fillId="3" borderId="21" xfId="0" applyNumberFormat="1" applyFont="1" applyFill="1" applyBorder="1" applyAlignment="1" applyProtection="1">
      <alignment vertical="center"/>
    </xf>
    <xf numFmtId="4" fontId="2" fillId="3" borderId="21" xfId="0" applyNumberFormat="1" applyFont="1" applyFill="1" applyBorder="1" applyAlignment="1" applyProtection="1">
      <alignment vertical="center"/>
    </xf>
    <xf numFmtId="0" fontId="61" fillId="3" borderId="173" xfId="0" applyFont="1" applyFill="1" applyBorder="1" applyAlignment="1" applyProtection="1">
      <alignment horizontal="right" vertical="center"/>
    </xf>
    <xf numFmtId="0" fontId="61" fillId="3" borderId="174" xfId="0" applyFont="1" applyFill="1" applyBorder="1" applyAlignment="1" applyProtection="1">
      <alignment horizontal="left" vertical="center"/>
    </xf>
    <xf numFmtId="0" fontId="2" fillId="3" borderId="66" xfId="0" applyFont="1" applyFill="1" applyBorder="1" applyAlignment="1" applyProtection="1">
      <alignment horizontal="center" vertical="center" wrapText="1"/>
    </xf>
    <xf numFmtId="0" fontId="62" fillId="3" borderId="66" xfId="0" applyFont="1" applyFill="1" applyBorder="1" applyAlignment="1" applyProtection="1">
      <alignment vertical="center" wrapText="1"/>
    </xf>
    <xf numFmtId="0" fontId="2" fillId="3" borderId="66" xfId="0" applyFont="1" applyFill="1" applyBorder="1" applyAlignment="1" applyProtection="1">
      <alignment horizontal="justify" vertical="center"/>
    </xf>
    <xf numFmtId="4" fontId="2" fillId="3" borderId="147" xfId="0" applyNumberFormat="1" applyFont="1" applyFill="1" applyBorder="1" applyAlignment="1" applyProtection="1">
      <alignment vertical="center"/>
    </xf>
    <xf numFmtId="185" fontId="2" fillId="3" borderId="147" xfId="0" applyNumberFormat="1" applyFont="1" applyFill="1" applyBorder="1" applyAlignment="1" applyProtection="1">
      <alignment vertical="center"/>
    </xf>
    <xf numFmtId="186" fontId="2" fillId="3" borderId="147" xfId="2" applyNumberFormat="1" applyFont="1" applyFill="1" applyBorder="1" applyAlignment="1" applyProtection="1">
      <alignment horizontal="center" vertical="center"/>
    </xf>
    <xf numFmtId="185" fontId="2" fillId="3" borderId="147" xfId="0" applyNumberFormat="1" applyFont="1" applyFill="1" applyBorder="1" applyAlignment="1" applyProtection="1">
      <alignment horizontal="right" vertical="center"/>
    </xf>
    <xf numFmtId="185" fontId="2" fillId="3" borderId="147" xfId="0" applyNumberFormat="1" applyFont="1" applyFill="1" applyBorder="1" applyAlignment="1" applyProtection="1">
      <alignment horizontal="center" vertical="center"/>
    </xf>
    <xf numFmtId="4" fontId="2" fillId="3" borderId="72" xfId="0" applyNumberFormat="1" applyFont="1" applyFill="1" applyBorder="1" applyAlignment="1" applyProtection="1">
      <alignment vertical="center"/>
    </xf>
    <xf numFmtId="0" fontId="61" fillId="3" borderId="175" xfId="0" applyFont="1" applyFill="1" applyBorder="1" applyAlignment="1" applyProtection="1">
      <alignment horizontal="right" vertical="center"/>
    </xf>
    <xf numFmtId="0" fontId="61" fillId="3" borderId="150" xfId="0" applyFont="1" applyFill="1" applyBorder="1" applyAlignment="1" applyProtection="1">
      <alignment horizontal="left" vertical="center"/>
    </xf>
    <xf numFmtId="0" fontId="2" fillId="3" borderId="32" xfId="0" applyFont="1" applyFill="1" applyBorder="1" applyAlignment="1" applyProtection="1">
      <alignment horizontal="center" vertical="center" wrapText="1"/>
    </xf>
    <xf numFmtId="0" fontId="62" fillId="3" borderId="32" xfId="0" applyFont="1" applyFill="1" applyBorder="1" applyAlignment="1" applyProtection="1">
      <alignment vertical="center" wrapText="1"/>
    </xf>
    <xf numFmtId="0" fontId="2" fillId="3" borderId="32" xfId="0" applyFont="1" applyFill="1" applyBorder="1" applyAlignment="1" applyProtection="1">
      <alignment horizontal="justify" vertical="center"/>
    </xf>
    <xf numFmtId="4" fontId="2" fillId="3" borderId="33" xfId="0" applyNumberFormat="1" applyFont="1" applyFill="1" applyBorder="1" applyAlignment="1" applyProtection="1">
      <alignment vertical="center"/>
    </xf>
    <xf numFmtId="185" fontId="2" fillId="3" borderId="33" xfId="0" applyNumberFormat="1" applyFont="1" applyFill="1" applyBorder="1" applyAlignment="1" applyProtection="1">
      <alignment vertical="center"/>
    </xf>
    <xf numFmtId="186" fontId="2" fillId="3" borderId="33" xfId="2" applyNumberFormat="1" applyFont="1" applyFill="1" applyBorder="1" applyAlignment="1" applyProtection="1">
      <alignment horizontal="center" vertical="center"/>
    </xf>
    <xf numFmtId="185" fontId="2" fillId="3" borderId="33" xfId="0" applyNumberFormat="1" applyFont="1" applyFill="1" applyBorder="1" applyAlignment="1" applyProtection="1">
      <alignment horizontal="right" vertical="center"/>
    </xf>
    <xf numFmtId="185" fontId="2" fillId="3" borderId="33" xfId="0" applyNumberFormat="1" applyFont="1" applyFill="1" applyBorder="1" applyAlignment="1" applyProtection="1">
      <alignment horizontal="center" vertical="center"/>
    </xf>
    <xf numFmtId="4" fontId="2" fillId="3" borderId="36" xfId="0" applyNumberFormat="1" applyFont="1" applyFill="1" applyBorder="1" applyAlignment="1" applyProtection="1">
      <alignment vertical="center"/>
    </xf>
    <xf numFmtId="0" fontId="61" fillId="3" borderId="29" xfId="0" applyFont="1" applyFill="1" applyBorder="1" applyAlignment="1" applyProtection="1">
      <alignment horizontal="right" vertical="center"/>
    </xf>
    <xf numFmtId="0" fontId="61" fillId="3" borderId="154" xfId="0" applyFont="1" applyFill="1" applyBorder="1" applyAlignment="1" applyProtection="1">
      <alignment horizontal="left" vertical="center"/>
    </xf>
    <xf numFmtId="0" fontId="2" fillId="3" borderId="155" xfId="0" applyFont="1" applyFill="1" applyBorder="1" applyAlignment="1" applyProtection="1">
      <alignment horizontal="center" vertical="center" wrapText="1"/>
    </xf>
    <xf numFmtId="0" fontId="62" fillId="3" borderId="155" xfId="0" applyFont="1" applyFill="1" applyBorder="1" applyAlignment="1" applyProtection="1">
      <alignment vertical="center" wrapText="1"/>
    </xf>
    <xf numFmtId="0" fontId="2" fillId="3" borderId="155" xfId="0" applyFont="1" applyFill="1" applyBorder="1" applyAlignment="1" applyProtection="1">
      <alignment horizontal="justify" vertical="center"/>
    </xf>
    <xf numFmtId="4" fontId="2" fillId="3" borderId="156" xfId="0" applyNumberFormat="1" applyFont="1" applyFill="1" applyBorder="1" applyAlignment="1" applyProtection="1">
      <alignment vertical="center"/>
    </xf>
    <xf numFmtId="185" fontId="2" fillId="3" borderId="156" xfId="0" applyNumberFormat="1" applyFont="1" applyFill="1" applyBorder="1" applyAlignment="1" applyProtection="1">
      <alignment vertical="center"/>
    </xf>
    <xf numFmtId="185" fontId="2" fillId="7" borderId="156" xfId="0" applyNumberFormat="1" applyFont="1" applyFill="1" applyBorder="1" applyAlignment="1" applyProtection="1">
      <alignment horizontal="center" vertical="center"/>
    </xf>
    <xf numFmtId="185" fontId="2" fillId="7" borderId="154" xfId="0" applyNumberFormat="1" applyFont="1" applyFill="1" applyBorder="1" applyAlignment="1" applyProtection="1">
      <alignment horizontal="right" vertical="center"/>
    </xf>
    <xf numFmtId="185" fontId="2" fillId="3" borderId="156" xfId="0" applyNumberFormat="1" applyFont="1" applyFill="1" applyBorder="1" applyAlignment="1" applyProtection="1">
      <alignment horizontal="center" vertical="center"/>
    </xf>
    <xf numFmtId="4" fontId="2" fillId="3" borderId="176" xfId="0" applyNumberFormat="1" applyFont="1" applyFill="1" applyBorder="1" applyAlignment="1" applyProtection="1">
      <alignment vertical="center"/>
    </xf>
    <xf numFmtId="4" fontId="2" fillId="3" borderId="147" xfId="0" applyNumberFormat="1" applyFont="1" applyFill="1" applyBorder="1" applyAlignment="1" applyProtection="1">
      <alignment vertical="center" wrapText="1"/>
    </xf>
    <xf numFmtId="4" fontId="2" fillId="3" borderId="33" xfId="0" applyNumberFormat="1" applyFont="1" applyFill="1" applyBorder="1" applyAlignment="1" applyProtection="1">
      <alignment vertical="center" wrapText="1"/>
    </xf>
    <xf numFmtId="4" fontId="2" fillId="3" borderId="156" xfId="0" applyNumberFormat="1" applyFont="1" applyFill="1" applyBorder="1" applyAlignment="1" applyProtection="1">
      <alignment vertical="center" wrapText="1"/>
    </xf>
    <xf numFmtId="0" fontId="2" fillId="3" borderId="66" xfId="0" applyFont="1" applyFill="1" applyBorder="1" applyAlignment="1" applyProtection="1">
      <alignment horizontal="justify" vertical="center" wrapText="1"/>
    </xf>
    <xf numFmtId="0" fontId="2" fillId="3" borderId="32" xfId="0" applyFont="1" applyFill="1" applyBorder="1" applyAlignment="1" applyProtection="1">
      <alignment horizontal="justify" vertical="center" wrapText="1"/>
    </xf>
    <xf numFmtId="0" fontId="2" fillId="3" borderId="155" xfId="0" applyFont="1" applyFill="1" applyBorder="1" applyAlignment="1" applyProtection="1">
      <alignment horizontal="justify" vertical="center" wrapText="1"/>
    </xf>
    <xf numFmtId="0" fontId="2" fillId="3" borderId="48" xfId="0" applyFont="1" applyFill="1" applyBorder="1" applyProtection="1"/>
    <xf numFmtId="0" fontId="2" fillId="3" borderId="46" xfId="0" applyFont="1" applyFill="1" applyBorder="1" applyProtection="1"/>
    <xf numFmtId="0" fontId="2" fillId="3" borderId="46" xfId="0" applyFont="1" applyFill="1" applyBorder="1" applyAlignment="1" applyProtection="1">
      <alignment horizontal="justify" vertical="center"/>
    </xf>
    <xf numFmtId="0" fontId="2" fillId="3" borderId="46" xfId="0" applyFont="1" applyFill="1" applyBorder="1" applyAlignment="1" applyProtection="1">
      <alignment vertical="center"/>
    </xf>
    <xf numFmtId="4" fontId="2" fillId="3" borderId="46" xfId="0" applyNumberFormat="1" applyFont="1" applyFill="1" applyBorder="1" applyAlignment="1" applyProtection="1">
      <alignment horizontal="center" vertical="center"/>
    </xf>
    <xf numFmtId="4" fontId="2" fillId="3" borderId="46" xfId="0" applyNumberFormat="1" applyFont="1" applyFill="1" applyBorder="1" applyAlignment="1" applyProtection="1">
      <alignment vertical="center"/>
    </xf>
    <xf numFmtId="185" fontId="2" fillId="3" borderId="46" xfId="0" applyNumberFormat="1" applyFont="1" applyFill="1" applyBorder="1" applyAlignment="1" applyProtection="1">
      <alignment vertical="center"/>
    </xf>
    <xf numFmtId="186" fontId="2" fillId="3" borderId="46" xfId="0" applyNumberFormat="1" applyFont="1" applyFill="1" applyBorder="1" applyAlignment="1" applyProtection="1">
      <alignment horizontal="center" vertical="center"/>
    </xf>
    <xf numFmtId="185" fontId="2" fillId="3" borderId="46" xfId="0" applyNumberFormat="1" applyFont="1" applyFill="1" applyBorder="1" applyAlignment="1" applyProtection="1">
      <alignment horizontal="right" vertical="center"/>
    </xf>
    <xf numFmtId="185" fontId="2" fillId="3" borderId="46" xfId="0" applyNumberFormat="1" applyFont="1" applyFill="1" applyBorder="1" applyAlignment="1" applyProtection="1">
      <alignment horizontal="center" vertical="center"/>
    </xf>
    <xf numFmtId="4" fontId="62" fillId="3" borderId="47" xfId="0" applyNumberFormat="1" applyFont="1" applyFill="1" applyBorder="1" applyAlignment="1" applyProtection="1">
      <alignment vertical="center"/>
    </xf>
    <xf numFmtId="0" fontId="62" fillId="0" borderId="0" xfId="0" applyFont="1" applyProtection="1"/>
    <xf numFmtId="0" fontId="63" fillId="2" borderId="2" xfId="0" applyFont="1" applyFill="1" applyBorder="1" applyAlignment="1" applyProtection="1">
      <alignment horizontal="center" vertical="center" wrapText="1"/>
    </xf>
    <xf numFmtId="0" fontId="62" fillId="3" borderId="11" xfId="0" applyFont="1" applyFill="1" applyBorder="1" applyAlignment="1" applyProtection="1">
      <alignment vertical="center"/>
    </xf>
    <xf numFmtId="0" fontId="62" fillId="3" borderId="1" xfId="0" applyFont="1" applyFill="1" applyBorder="1" applyAlignment="1" applyProtection="1">
      <alignment vertical="center"/>
    </xf>
    <xf numFmtId="0" fontId="62" fillId="3" borderId="1" xfId="0" applyFont="1" applyFill="1" applyBorder="1" applyProtection="1"/>
    <xf numFmtId="0" fontId="62" fillId="3" borderId="1" xfId="0" applyFont="1" applyFill="1" applyBorder="1" applyAlignment="1" applyProtection="1">
      <alignment horizontal="left"/>
    </xf>
    <xf numFmtId="0" fontId="63" fillId="3" borderId="1" xfId="0" applyFont="1" applyFill="1" applyBorder="1" applyAlignment="1" applyProtection="1">
      <alignment horizontal="right"/>
    </xf>
    <xf numFmtId="0" fontId="62" fillId="3" borderId="12" xfId="0" applyFont="1" applyFill="1" applyBorder="1" applyProtection="1"/>
    <xf numFmtId="0" fontId="62" fillId="3" borderId="0" xfId="0" applyFont="1" applyFill="1" applyBorder="1" applyAlignment="1" applyProtection="1">
      <alignment vertical="center"/>
    </xf>
    <xf numFmtId="0" fontId="62" fillId="3" borderId="0" xfId="0" applyFont="1" applyFill="1" applyBorder="1" applyProtection="1"/>
    <xf numFmtId="0" fontId="62" fillId="3" borderId="0" xfId="0" applyFont="1" applyFill="1" applyBorder="1" applyAlignment="1" applyProtection="1">
      <alignment horizontal="left"/>
    </xf>
    <xf numFmtId="0" fontId="62" fillId="3" borderId="0" xfId="0" applyFont="1" applyFill="1" applyProtection="1"/>
    <xf numFmtId="0" fontId="63" fillId="3" borderId="0" xfId="0" applyFont="1" applyFill="1" applyAlignment="1" applyProtection="1">
      <alignment horizontal="right"/>
    </xf>
    <xf numFmtId="0" fontId="62" fillId="3" borderId="9" xfId="0" applyFont="1" applyFill="1" applyBorder="1" applyAlignment="1" applyProtection="1">
      <alignment horizontal="left"/>
    </xf>
    <xf numFmtId="0" fontId="63" fillId="3" borderId="10" xfId="0" applyFont="1" applyFill="1" applyBorder="1" applyAlignment="1" applyProtection="1">
      <alignment horizontal="right"/>
    </xf>
    <xf numFmtId="177" fontId="63" fillId="3" borderId="0" xfId="0" applyNumberFormat="1" applyFont="1" applyFill="1" applyBorder="1" applyAlignment="1" applyProtection="1"/>
    <xf numFmtId="0" fontId="63" fillId="3" borderId="0" xfId="0" applyFont="1" applyFill="1" applyBorder="1" applyAlignment="1" applyProtection="1"/>
    <xf numFmtId="0" fontId="63" fillId="3" borderId="10" xfId="0" applyFont="1" applyFill="1" applyBorder="1" applyAlignment="1" applyProtection="1"/>
    <xf numFmtId="0" fontId="62" fillId="3" borderId="11" xfId="0" applyFont="1" applyFill="1" applyBorder="1" applyAlignment="1" applyProtection="1">
      <alignment horizontal="left"/>
    </xf>
    <xf numFmtId="0" fontId="63" fillId="3" borderId="1" xfId="0" applyFont="1" applyFill="1" applyBorder="1" applyProtection="1"/>
    <xf numFmtId="0" fontId="63" fillId="3" borderId="12" xfId="0" applyFont="1" applyFill="1" applyBorder="1" applyAlignment="1" applyProtection="1">
      <alignment horizontal="right"/>
    </xf>
    <xf numFmtId="0" fontId="63" fillId="3" borderId="0" xfId="0" applyFont="1" applyFill="1" applyBorder="1" applyAlignment="1" applyProtection="1">
      <alignment horizontal="center" vertical="center"/>
    </xf>
    <xf numFmtId="0" fontId="62" fillId="2" borderId="43" xfId="0" applyFont="1" applyFill="1" applyBorder="1" applyAlignment="1" applyProtection="1">
      <alignment horizontal="left" vertical="center"/>
    </xf>
    <xf numFmtId="0" fontId="62" fillId="2" borderId="4" xfId="0" applyFont="1" applyFill="1" applyBorder="1" applyAlignment="1" applyProtection="1">
      <alignment horizontal="left" vertical="center"/>
    </xf>
    <xf numFmtId="2" fontId="63" fillId="2" borderId="4" xfId="0" applyNumberFormat="1" applyFont="1" applyFill="1" applyBorder="1" applyAlignment="1" applyProtection="1">
      <alignment horizontal="center" vertical="center"/>
    </xf>
    <xf numFmtId="0" fontId="63" fillId="2" borderId="157" xfId="0" applyFont="1" applyFill="1" applyBorder="1" applyAlignment="1" applyProtection="1">
      <alignment horizontal="left" vertical="center"/>
    </xf>
    <xf numFmtId="0" fontId="62" fillId="2" borderId="4" xfId="0" applyFont="1" applyFill="1" applyBorder="1" applyAlignment="1" applyProtection="1">
      <alignment horizontal="right" vertical="center"/>
    </xf>
    <xf numFmtId="0" fontId="63" fillId="2" borderId="157" xfId="0" applyFont="1" applyFill="1" applyBorder="1" applyAlignment="1" applyProtection="1">
      <alignment vertical="center"/>
    </xf>
    <xf numFmtId="0" fontId="62" fillId="3" borderId="4" xfId="0" applyFont="1" applyFill="1" applyBorder="1" applyAlignment="1" applyProtection="1">
      <alignment vertical="center"/>
    </xf>
    <xf numFmtId="0" fontId="62" fillId="3" borderId="6" xfId="0" applyFont="1" applyFill="1" applyBorder="1" applyAlignment="1" applyProtection="1">
      <alignment vertical="center"/>
    </xf>
    <xf numFmtId="0" fontId="62" fillId="3" borderId="7" xfId="0" applyFont="1" applyFill="1" applyBorder="1" applyAlignment="1" applyProtection="1">
      <alignment vertical="center"/>
    </xf>
    <xf numFmtId="0" fontId="62" fillId="3" borderId="7" xfId="0" applyFont="1" applyFill="1" applyBorder="1" applyAlignment="1" applyProtection="1">
      <alignment horizontal="right" vertical="center"/>
    </xf>
    <xf numFmtId="0" fontId="62" fillId="3" borderId="8" xfId="0" applyFont="1" applyFill="1" applyBorder="1" applyAlignment="1" applyProtection="1">
      <alignment vertical="center"/>
    </xf>
    <xf numFmtId="0" fontId="62" fillId="3" borderId="9" xfId="0" applyFont="1" applyFill="1" applyBorder="1" applyAlignment="1" applyProtection="1">
      <alignment vertical="center"/>
    </xf>
    <xf numFmtId="0" fontId="63" fillId="3" borderId="0" xfId="0" applyFont="1" applyFill="1" applyBorder="1" applyAlignment="1" applyProtection="1">
      <alignment vertical="center"/>
    </xf>
    <xf numFmtId="0" fontId="62" fillId="3" borderId="10" xfId="0" applyFont="1" applyFill="1" applyBorder="1" applyAlignment="1" applyProtection="1">
      <alignment vertical="center"/>
    </xf>
    <xf numFmtId="0" fontId="62" fillId="5" borderId="125" xfId="0" applyFont="1" applyFill="1" applyBorder="1" applyAlignment="1" applyProtection="1">
      <alignment vertical="center"/>
      <protection locked="0"/>
    </xf>
    <xf numFmtId="0" fontId="62" fillId="0" borderId="124" xfId="0" applyFont="1" applyBorder="1" applyAlignment="1" applyProtection="1">
      <alignment vertical="center"/>
    </xf>
    <xf numFmtId="0" fontId="62" fillId="3" borderId="125" xfId="0" applyFont="1" applyFill="1" applyBorder="1" applyAlignment="1" applyProtection="1">
      <alignment vertical="center"/>
    </xf>
    <xf numFmtId="0" fontId="62" fillId="3" borderId="124" xfId="0" applyFont="1" applyFill="1" applyBorder="1" applyAlignment="1" applyProtection="1">
      <alignment vertical="center"/>
    </xf>
    <xf numFmtId="0" fontId="62" fillId="3" borderId="0" xfId="0" applyFont="1" applyFill="1" applyBorder="1" applyAlignment="1" applyProtection="1">
      <alignment horizontal="left" vertical="center"/>
    </xf>
    <xf numFmtId="0" fontId="62" fillId="3" borderId="5" xfId="0" applyFont="1" applyFill="1" applyBorder="1" applyAlignment="1" applyProtection="1">
      <alignment horizontal="center" vertical="center"/>
    </xf>
    <xf numFmtId="0" fontId="62" fillId="3" borderId="5" xfId="0" applyFont="1" applyFill="1" applyBorder="1" applyAlignment="1" applyProtection="1">
      <alignment horizontal="center" vertical="center" wrapText="1"/>
    </xf>
    <xf numFmtId="2" fontId="63" fillId="3" borderId="6" xfId="0" applyNumberFormat="1" applyFont="1" applyFill="1" applyBorder="1" applyAlignment="1" applyProtection="1">
      <alignment horizontal="left" vertical="center"/>
    </xf>
    <xf numFmtId="2" fontId="63" fillId="3" borderId="7" xfId="0" applyNumberFormat="1" applyFont="1" applyFill="1" applyBorder="1" applyAlignment="1" applyProtection="1">
      <alignment horizontal="left" vertical="center"/>
    </xf>
    <xf numFmtId="2" fontId="62" fillId="3" borderId="7" xfId="0" applyNumberFormat="1" applyFont="1" applyFill="1" applyBorder="1" applyAlignment="1" applyProtection="1">
      <alignment horizontal="center" vertical="center"/>
    </xf>
    <xf numFmtId="2" fontId="62" fillId="3" borderId="7" xfId="0" applyNumberFormat="1" applyFont="1" applyFill="1" applyBorder="1" applyAlignment="1" applyProtection="1">
      <alignment horizontal="left" vertical="center"/>
    </xf>
    <xf numFmtId="2" fontId="62" fillId="3" borderId="7" xfId="0" applyNumberFormat="1" applyFont="1" applyFill="1" applyBorder="1" applyAlignment="1" applyProtection="1">
      <alignment vertical="center"/>
    </xf>
    <xf numFmtId="3" fontId="62" fillId="3" borderId="7" xfId="0" applyNumberFormat="1" applyFont="1" applyFill="1" applyBorder="1" applyAlignment="1" applyProtection="1">
      <alignment horizontal="center" vertical="center"/>
    </xf>
    <xf numFmtId="4" fontId="62" fillId="3" borderId="7" xfId="0" applyNumberFormat="1" applyFont="1" applyFill="1" applyBorder="1" applyAlignment="1" applyProtection="1">
      <alignment horizontal="center" vertical="center"/>
    </xf>
    <xf numFmtId="4" fontId="62" fillId="3" borderId="7" xfId="1" applyNumberFormat="1" applyFont="1" applyFill="1" applyBorder="1" applyAlignment="1" applyProtection="1">
      <alignment horizontal="center" vertical="center"/>
    </xf>
    <xf numFmtId="185" fontId="62" fillId="3" borderId="7" xfId="1" applyNumberFormat="1" applyFont="1" applyFill="1" applyBorder="1" applyAlignment="1" applyProtection="1">
      <alignment horizontal="right" vertical="center"/>
    </xf>
    <xf numFmtId="185" fontId="62" fillId="3" borderId="8" xfId="1" applyNumberFormat="1" applyFont="1" applyFill="1" applyBorder="1" applyAlignment="1" applyProtection="1">
      <alignment horizontal="right" vertical="center"/>
    </xf>
    <xf numFmtId="2" fontId="63" fillId="3" borderId="9" xfId="0" applyNumberFormat="1" applyFont="1" applyFill="1" applyBorder="1" applyAlignment="1" applyProtection="1">
      <alignment horizontal="left" vertical="center"/>
    </xf>
    <xf numFmtId="2" fontId="63" fillId="3" borderId="0" xfId="0" applyNumberFormat="1" applyFont="1" applyFill="1" applyBorder="1" applyAlignment="1" applyProtection="1">
      <alignment horizontal="center" vertical="center"/>
    </xf>
    <xf numFmtId="2" fontId="62" fillId="3" borderId="0" xfId="0" applyNumberFormat="1" applyFont="1" applyFill="1" applyBorder="1" applyAlignment="1" applyProtection="1">
      <alignment horizontal="center" vertical="center"/>
    </xf>
    <xf numFmtId="2" fontId="63" fillId="3" borderId="0" xfId="0" applyNumberFormat="1" applyFont="1" applyFill="1" applyBorder="1" applyAlignment="1" applyProtection="1">
      <alignment horizontal="left" vertical="center"/>
    </xf>
    <xf numFmtId="2" fontId="62" fillId="3" borderId="0" xfId="0" applyNumberFormat="1" applyFont="1" applyFill="1" applyBorder="1" applyAlignment="1" applyProtection="1">
      <alignment vertical="center"/>
    </xf>
    <xf numFmtId="3" fontId="62" fillId="3" borderId="0" xfId="0" applyNumberFormat="1" applyFont="1" applyFill="1" applyBorder="1" applyAlignment="1" applyProtection="1">
      <alignment horizontal="center" vertical="center"/>
    </xf>
    <xf numFmtId="4" fontId="62" fillId="3" borderId="0" xfId="0" applyNumberFormat="1" applyFont="1" applyFill="1" applyBorder="1" applyAlignment="1" applyProtection="1">
      <alignment horizontal="center" vertical="center"/>
    </xf>
    <xf numFmtId="4" fontId="62" fillId="3" borderId="0" xfId="1" applyNumberFormat="1" applyFont="1" applyFill="1" applyBorder="1" applyAlignment="1" applyProtection="1">
      <alignment horizontal="center" vertical="center"/>
    </xf>
    <xf numFmtId="185" fontId="62" fillId="3" borderId="0" xfId="1" applyNumberFormat="1" applyFont="1" applyFill="1" applyBorder="1" applyAlignment="1" applyProtection="1">
      <alignment horizontal="right" vertical="center"/>
    </xf>
    <xf numFmtId="185" fontId="62" fillId="3" borderId="10" xfId="1" applyNumberFormat="1" applyFont="1" applyFill="1" applyBorder="1" applyAlignment="1" applyProtection="1">
      <alignment horizontal="right" vertical="center"/>
    </xf>
    <xf numFmtId="1" fontId="65" fillId="3" borderId="0" xfId="0" applyNumberFormat="1" applyFont="1" applyFill="1" applyBorder="1" applyAlignment="1" applyProtection="1">
      <alignment horizontal="center" vertical="center"/>
    </xf>
    <xf numFmtId="2" fontId="63" fillId="3" borderId="0" xfId="0" applyNumberFormat="1" applyFont="1" applyFill="1" applyBorder="1" applyAlignment="1" applyProtection="1">
      <alignment vertical="center"/>
    </xf>
    <xf numFmtId="185" fontId="62" fillId="3" borderId="12" xfId="1" applyNumberFormat="1" applyFont="1" applyFill="1" applyBorder="1" applyAlignment="1" applyProtection="1">
      <alignment horizontal="right" vertical="center"/>
    </xf>
    <xf numFmtId="185" fontId="62" fillId="3" borderId="5" xfId="1" applyNumberFormat="1" applyFont="1" applyFill="1" applyBorder="1" applyAlignment="1" applyProtection="1">
      <alignment horizontal="right" vertical="center"/>
    </xf>
    <xf numFmtId="2" fontId="63" fillId="3" borderId="68" xfId="0" applyNumberFormat="1" applyFont="1" applyFill="1" applyBorder="1" applyAlignment="1" applyProtection="1">
      <alignment horizontal="left" vertical="center"/>
    </xf>
    <xf numFmtId="2" fontId="66" fillId="3" borderId="114" xfId="0" applyNumberFormat="1" applyFont="1" applyFill="1" applyBorder="1" applyAlignment="1" applyProtection="1">
      <alignment horizontal="center" vertical="center"/>
    </xf>
    <xf numFmtId="2" fontId="62" fillId="3" borderId="114" xfId="0" applyNumberFormat="1" applyFont="1" applyFill="1" applyBorder="1" applyAlignment="1" applyProtection="1">
      <alignment horizontal="center" vertical="center"/>
    </xf>
    <xf numFmtId="1" fontId="65" fillId="3" borderId="114" xfId="0" applyNumberFormat="1" applyFont="1" applyFill="1" applyBorder="1" applyAlignment="1" applyProtection="1">
      <alignment horizontal="center" vertical="center"/>
    </xf>
    <xf numFmtId="2" fontId="63" fillId="3" borderId="114" xfId="0" applyNumberFormat="1" applyFont="1" applyFill="1" applyBorder="1" applyAlignment="1" applyProtection="1">
      <alignment vertical="center"/>
    </xf>
    <xf numFmtId="0" fontId="62" fillId="3" borderId="114" xfId="0" applyFont="1" applyFill="1" applyBorder="1" applyAlignment="1" applyProtection="1">
      <alignment vertical="center"/>
    </xf>
    <xf numFmtId="4" fontId="62" fillId="3" borderId="114" xfId="0" applyNumberFormat="1" applyFont="1" applyFill="1" applyBorder="1" applyAlignment="1" applyProtection="1">
      <alignment horizontal="center" vertical="center"/>
    </xf>
    <xf numFmtId="4" fontId="62" fillId="3" borderId="114" xfId="1" applyNumberFormat="1" applyFont="1" applyFill="1" applyBorder="1" applyAlignment="1" applyProtection="1">
      <alignment horizontal="center" vertical="center"/>
    </xf>
    <xf numFmtId="185" fontId="62" fillId="3" borderId="178" xfId="1" applyNumberFormat="1" applyFont="1" applyFill="1" applyBorder="1" applyAlignment="1" applyProtection="1">
      <alignment horizontal="right" vertical="center"/>
    </xf>
    <xf numFmtId="2" fontId="63" fillId="3" borderId="9" xfId="0" applyNumberFormat="1" applyFont="1" applyFill="1" applyBorder="1" applyAlignment="1" applyProtection="1">
      <alignment horizontal="right" vertical="center"/>
    </xf>
    <xf numFmtId="0" fontId="62" fillId="3" borderId="0" xfId="0" applyFont="1" applyFill="1" applyBorder="1" applyAlignment="1" applyProtection="1">
      <alignment horizontal="center" vertical="center"/>
    </xf>
    <xf numFmtId="2" fontId="62" fillId="3" borderId="0" xfId="0" applyNumberFormat="1" applyFont="1" applyFill="1" applyBorder="1" applyAlignment="1" applyProtection="1">
      <alignment horizontal="left" vertical="center"/>
    </xf>
    <xf numFmtId="2" fontId="62" fillId="3" borderId="10" xfId="0" applyNumberFormat="1" applyFont="1" applyFill="1" applyBorder="1" applyAlignment="1" applyProtection="1">
      <alignment horizontal="left" vertical="center"/>
    </xf>
    <xf numFmtId="2" fontId="62" fillId="5" borderId="10" xfId="0" applyNumberFormat="1" applyFont="1" applyFill="1" applyBorder="1" applyAlignment="1" applyProtection="1">
      <alignment horizontal="center" vertical="center"/>
      <protection locked="0"/>
    </xf>
    <xf numFmtId="3" fontId="62" fillId="5" borderId="3" xfId="0" applyNumberFormat="1" applyFont="1" applyFill="1" applyBorder="1" applyAlignment="1" applyProtection="1">
      <alignment horizontal="center" vertical="center"/>
      <protection locked="0"/>
    </xf>
    <xf numFmtId="4" fontId="62" fillId="3" borderId="3" xfId="1" applyNumberFormat="1" applyFont="1" applyFill="1" applyBorder="1" applyAlignment="1" applyProtection="1">
      <alignment horizontal="center" vertical="center"/>
    </xf>
    <xf numFmtId="185" fontId="62" fillId="3" borderId="10" xfId="0" applyNumberFormat="1" applyFont="1" applyFill="1" applyBorder="1" applyAlignment="1" applyProtection="1">
      <alignment horizontal="right" vertical="center"/>
    </xf>
    <xf numFmtId="185" fontId="62" fillId="3" borderId="3" xfId="1" applyNumberFormat="1" applyFont="1" applyFill="1" applyBorder="1" applyAlignment="1" applyProtection="1">
      <alignment horizontal="right" vertical="center"/>
    </xf>
    <xf numFmtId="2" fontId="62" fillId="5" borderId="3" xfId="0" applyNumberFormat="1" applyFont="1" applyFill="1" applyBorder="1" applyAlignment="1" applyProtection="1">
      <alignment horizontal="center" vertical="center"/>
      <protection locked="0"/>
    </xf>
    <xf numFmtId="3" fontId="62" fillId="5" borderId="10" xfId="0" applyNumberFormat="1" applyFont="1" applyFill="1" applyBorder="1" applyAlignment="1" applyProtection="1">
      <alignment horizontal="center" vertical="center"/>
      <protection locked="0"/>
    </xf>
    <xf numFmtId="185" fontId="62" fillId="3" borderId="0" xfId="0" applyNumberFormat="1" applyFont="1" applyFill="1" applyBorder="1" applyAlignment="1" applyProtection="1">
      <alignment horizontal="right" vertical="center"/>
    </xf>
    <xf numFmtId="2" fontId="63" fillId="5" borderId="9" xfId="0" applyNumberFormat="1" applyFont="1" applyFill="1" applyBorder="1" applyAlignment="1" applyProtection="1">
      <alignment horizontal="right" vertical="center"/>
      <protection locked="0"/>
    </xf>
    <xf numFmtId="2" fontId="63" fillId="5" borderId="0" xfId="0" applyNumberFormat="1" applyFont="1" applyFill="1" applyBorder="1" applyAlignment="1" applyProtection="1">
      <alignment horizontal="left" vertical="center"/>
      <protection locked="0"/>
    </xf>
    <xf numFmtId="0" fontId="62" fillId="5" borderId="0" xfId="0" applyFont="1" applyFill="1" applyBorder="1" applyAlignment="1" applyProtection="1">
      <alignment horizontal="center" vertical="center"/>
      <protection locked="0"/>
    </xf>
    <xf numFmtId="2" fontId="62" fillId="5" borderId="0" xfId="0" applyNumberFormat="1" applyFont="1" applyFill="1" applyBorder="1" applyAlignment="1" applyProtection="1">
      <alignment horizontal="justify" vertical="center" wrapText="1"/>
      <protection locked="0"/>
    </xf>
    <xf numFmtId="2" fontId="62" fillId="5" borderId="10" xfId="0" applyNumberFormat="1" applyFont="1" applyFill="1" applyBorder="1" applyAlignment="1" applyProtection="1">
      <alignment horizontal="justify" vertical="center" wrapText="1"/>
      <protection locked="0"/>
    </xf>
    <xf numFmtId="185" fontId="62" fillId="5" borderId="0" xfId="0" applyNumberFormat="1" applyFont="1" applyFill="1" applyBorder="1" applyAlignment="1" applyProtection="1">
      <alignment horizontal="right" vertical="center"/>
      <protection locked="0"/>
    </xf>
    <xf numFmtId="185" fontId="62" fillId="5" borderId="3" xfId="1" applyNumberFormat="1" applyFont="1" applyFill="1" applyBorder="1" applyAlignment="1" applyProtection="1">
      <alignment horizontal="right" vertical="center"/>
      <protection locked="0"/>
    </xf>
    <xf numFmtId="2" fontId="63" fillId="3" borderId="33" xfId="0" applyNumberFormat="1" applyFont="1" applyFill="1" applyBorder="1" applyAlignment="1" applyProtection="1">
      <alignment horizontal="right" vertical="center"/>
    </xf>
    <xf numFmtId="2" fontId="63" fillId="3" borderId="117" xfId="0" applyNumberFormat="1" applyFont="1" applyFill="1" applyBorder="1" applyAlignment="1" applyProtection="1">
      <alignment horizontal="left" vertical="center"/>
    </xf>
    <xf numFmtId="0" fontId="62" fillId="3" borderId="117" xfId="0" applyFont="1" applyFill="1" applyBorder="1" applyAlignment="1" applyProtection="1">
      <alignment horizontal="center" vertical="center"/>
    </xf>
    <xf numFmtId="2" fontId="62" fillId="3" borderId="117" xfId="0" applyNumberFormat="1" applyFont="1" applyFill="1" applyBorder="1" applyAlignment="1" applyProtection="1">
      <alignment horizontal="justify" vertical="center" wrapText="1"/>
    </xf>
    <xf numFmtId="4" fontId="62" fillId="3" borderId="117" xfId="0" applyNumberFormat="1" applyFont="1" applyFill="1" applyBorder="1" applyAlignment="1" applyProtection="1">
      <alignment horizontal="center" vertical="center"/>
    </xf>
    <xf numFmtId="3" fontId="62" fillId="3" borderId="117" xfId="0" applyNumberFormat="1" applyFont="1" applyFill="1" applyBorder="1" applyAlignment="1" applyProtection="1">
      <alignment horizontal="center" vertical="center"/>
    </xf>
    <xf numFmtId="4" fontId="62" fillId="3" borderId="117" xfId="1" applyNumberFormat="1" applyFont="1" applyFill="1" applyBorder="1" applyAlignment="1" applyProtection="1">
      <alignment horizontal="center" vertical="center"/>
    </xf>
    <xf numFmtId="185" fontId="62" fillId="3" borderId="117" xfId="0" applyNumberFormat="1" applyFont="1" applyFill="1" applyBorder="1" applyAlignment="1" applyProtection="1">
      <alignment horizontal="right" vertical="center"/>
    </xf>
    <xf numFmtId="185" fontId="62" fillId="3" borderId="150" xfId="1" applyNumberFormat="1" applyFont="1" applyFill="1" applyBorder="1" applyAlignment="1" applyProtection="1">
      <alignment horizontal="right" vertical="center"/>
    </xf>
    <xf numFmtId="2" fontId="62" fillId="3" borderId="0" xfId="0" applyNumberFormat="1" applyFont="1" applyFill="1" applyBorder="1" applyAlignment="1" applyProtection="1">
      <alignment horizontal="justify" vertical="center" wrapText="1"/>
    </xf>
    <xf numFmtId="2" fontId="63" fillId="3" borderId="68" xfId="0" applyNumberFormat="1" applyFont="1" applyFill="1" applyBorder="1" applyAlignment="1" applyProtection="1">
      <alignment horizontal="right" vertical="center"/>
    </xf>
    <xf numFmtId="2" fontId="66" fillId="3" borderId="114" xfId="0" applyNumberFormat="1" applyFont="1" applyFill="1" applyBorder="1" applyAlignment="1" applyProtection="1">
      <alignment horizontal="left" vertical="center"/>
    </xf>
    <xf numFmtId="0" fontId="62" fillId="3" borderId="114" xfId="0" applyFont="1" applyFill="1" applyBorder="1" applyAlignment="1" applyProtection="1">
      <alignment horizontal="center" vertical="center"/>
    </xf>
    <xf numFmtId="2" fontId="62" fillId="3" borderId="114" xfId="0" applyNumberFormat="1" applyFont="1" applyFill="1" applyBorder="1" applyAlignment="1" applyProtection="1">
      <alignment horizontal="justify" vertical="center" wrapText="1"/>
    </xf>
    <xf numFmtId="185" fontId="62" fillId="3" borderId="114" xfId="0" applyNumberFormat="1" applyFont="1" applyFill="1" applyBorder="1" applyAlignment="1" applyProtection="1">
      <alignment horizontal="right" vertical="center"/>
    </xf>
    <xf numFmtId="3" fontId="62" fillId="5" borderId="34" xfId="0" applyNumberFormat="1" applyFont="1" applyFill="1" applyBorder="1" applyAlignment="1" applyProtection="1">
      <alignment horizontal="center" vertical="center"/>
      <protection locked="0"/>
    </xf>
    <xf numFmtId="185" fontId="62" fillId="3" borderId="163" xfId="0" applyNumberFormat="1" applyFont="1" applyFill="1" applyBorder="1" applyAlignment="1" applyProtection="1">
      <alignment horizontal="right" vertical="center"/>
    </xf>
    <xf numFmtId="2" fontId="62" fillId="3" borderId="127" xfId="0" applyNumberFormat="1" applyFont="1" applyFill="1" applyBorder="1" applyAlignment="1" applyProtection="1">
      <alignment horizontal="justify" vertical="center" wrapText="1"/>
    </xf>
    <xf numFmtId="4" fontId="62" fillId="3" borderId="127" xfId="0" applyNumberFormat="1" applyFont="1" applyFill="1" applyBorder="1" applyAlignment="1" applyProtection="1">
      <alignment horizontal="center" vertical="center"/>
    </xf>
    <xf numFmtId="4" fontId="62" fillId="3" borderId="127" xfId="1" applyNumberFormat="1" applyFont="1" applyFill="1" applyBorder="1" applyAlignment="1" applyProtection="1">
      <alignment horizontal="center" vertical="center"/>
    </xf>
    <xf numFmtId="185" fontId="62" fillId="3" borderId="178" xfId="0" applyNumberFormat="1" applyFont="1" applyFill="1" applyBorder="1" applyAlignment="1" applyProtection="1">
      <alignment horizontal="right" vertical="center"/>
    </xf>
    <xf numFmtId="185" fontId="62" fillId="3" borderId="34" xfId="0" applyNumberFormat="1" applyFont="1" applyFill="1" applyBorder="1" applyAlignment="1" applyProtection="1">
      <alignment horizontal="center" vertical="center"/>
    </xf>
    <xf numFmtId="2" fontId="62" fillId="5" borderId="34" xfId="0" applyNumberFormat="1" applyFont="1" applyFill="1" applyBorder="1" applyAlignment="1" applyProtection="1">
      <alignment horizontal="center" vertical="center"/>
      <protection locked="0"/>
    </xf>
    <xf numFmtId="185" fontId="62" fillId="3" borderId="3" xfId="0" applyNumberFormat="1" applyFont="1" applyFill="1" applyBorder="1" applyAlignment="1" applyProtection="1">
      <alignment horizontal="center" vertical="center"/>
    </xf>
    <xf numFmtId="2" fontId="62" fillId="3" borderId="117" xfId="0" applyNumberFormat="1" applyFont="1" applyFill="1" applyBorder="1" applyAlignment="1" applyProtection="1">
      <alignment horizontal="center" vertical="center"/>
    </xf>
    <xf numFmtId="4" fontId="62" fillId="3" borderId="43" xfId="0" applyNumberFormat="1" applyFont="1" applyFill="1" applyBorder="1" applyAlignment="1" applyProtection="1">
      <alignment vertical="center"/>
    </xf>
    <xf numFmtId="4" fontId="62" fillId="3" borderId="4" xfId="0" applyNumberFormat="1" applyFont="1" applyFill="1" applyBorder="1" applyAlignment="1" applyProtection="1">
      <alignment vertical="center"/>
    </xf>
    <xf numFmtId="4" fontId="63" fillId="3" borderId="157" xfId="0" applyNumberFormat="1" applyFont="1" applyFill="1" applyBorder="1" applyAlignment="1" applyProtection="1">
      <alignment horizontal="right" vertical="center"/>
    </xf>
    <xf numFmtId="185" fontId="63" fillId="3" borderId="5" xfId="1" applyNumberFormat="1" applyFont="1" applyFill="1" applyBorder="1" applyAlignment="1" applyProtection="1">
      <alignment vertical="center"/>
    </xf>
    <xf numFmtId="0" fontId="62" fillId="3" borderId="61" xfId="0" applyFont="1" applyFill="1" applyBorder="1" applyAlignment="1" applyProtection="1">
      <alignment horizontal="center" vertical="center"/>
    </xf>
    <xf numFmtId="0" fontId="62" fillId="3" borderId="61" xfId="0" applyFont="1" applyFill="1" applyBorder="1" applyAlignment="1" applyProtection="1">
      <alignment horizontal="center" vertical="center" wrapText="1"/>
    </xf>
    <xf numFmtId="0" fontId="63" fillId="3" borderId="147" xfId="0" applyFont="1" applyFill="1" applyBorder="1" applyAlignment="1" applyProtection="1">
      <alignment horizontal="left" vertical="center"/>
    </xf>
    <xf numFmtId="2" fontId="63" fillId="3" borderId="131" xfId="0" applyNumberFormat="1" applyFont="1" applyFill="1" applyBorder="1" applyAlignment="1" applyProtection="1">
      <alignment horizontal="left" vertical="center"/>
    </xf>
    <xf numFmtId="0" fontId="62" fillId="3" borderId="131" xfId="0" applyFont="1" applyFill="1" applyBorder="1" applyAlignment="1" applyProtection="1">
      <alignment horizontal="center" vertical="center"/>
    </xf>
    <xf numFmtId="0" fontId="62" fillId="3" borderId="131" xfId="0" applyFont="1" applyFill="1" applyBorder="1" applyAlignment="1" applyProtection="1">
      <alignment horizontal="left" vertical="center"/>
    </xf>
    <xf numFmtId="0" fontId="62" fillId="3" borderId="131" xfId="0" applyFont="1" applyFill="1" applyBorder="1" applyAlignment="1" applyProtection="1">
      <alignment vertical="center"/>
    </xf>
    <xf numFmtId="4" fontId="62" fillId="3" borderId="131" xfId="0" applyNumberFormat="1" applyFont="1" applyFill="1" applyBorder="1" applyAlignment="1" applyProtection="1">
      <alignment horizontal="center" vertical="center"/>
    </xf>
    <xf numFmtId="185" fontId="62" fillId="3" borderId="174" xfId="0" applyNumberFormat="1" applyFont="1" applyFill="1" applyBorder="1" applyAlignment="1" applyProtection="1">
      <alignment horizontal="center" vertical="center"/>
    </xf>
    <xf numFmtId="185" fontId="62" fillId="3" borderId="5" xfId="1" applyNumberFormat="1" applyFont="1" applyFill="1" applyBorder="1" applyAlignment="1" applyProtection="1">
      <alignment vertical="center"/>
    </xf>
    <xf numFmtId="0" fontId="63" fillId="3" borderId="179" xfId="0" applyFont="1" applyFill="1" applyBorder="1" applyAlignment="1" applyProtection="1">
      <alignment horizontal="right" vertical="center"/>
    </xf>
    <xf numFmtId="2" fontId="63" fillId="3" borderId="127" xfId="0" applyNumberFormat="1" applyFont="1" applyFill="1" applyBorder="1" applyAlignment="1" applyProtection="1">
      <alignment horizontal="left" vertical="center"/>
    </xf>
    <xf numFmtId="0" fontId="62" fillId="3" borderId="127" xfId="0" applyFont="1" applyFill="1" applyBorder="1" applyAlignment="1" applyProtection="1">
      <alignment horizontal="center" vertical="center"/>
    </xf>
    <xf numFmtId="0" fontId="62" fillId="3" borderId="127" xfId="0" applyFont="1" applyFill="1" applyBorder="1" applyAlignment="1" applyProtection="1">
      <alignment horizontal="left" vertical="center"/>
    </xf>
    <xf numFmtId="186" fontId="62" fillId="5" borderId="3" xfId="0" applyNumberFormat="1" applyFont="1" applyFill="1" applyBorder="1" applyAlignment="1" applyProtection="1">
      <alignment vertical="center"/>
      <protection locked="0"/>
    </xf>
    <xf numFmtId="185" fontId="62" fillId="3" borderId="34" xfId="0" applyNumberFormat="1" applyFont="1" applyFill="1" applyBorder="1" applyAlignment="1" applyProtection="1">
      <alignment horizontal="right" vertical="center"/>
    </xf>
    <xf numFmtId="185" fontId="62" fillId="5" borderId="3" xfId="0" applyNumberFormat="1" applyFont="1" applyFill="1" applyBorder="1" applyAlignment="1" applyProtection="1">
      <alignment horizontal="right" vertical="center"/>
      <protection locked="0"/>
    </xf>
    <xf numFmtId="0" fontId="63" fillId="3" borderId="9" xfId="0" applyFont="1" applyFill="1" applyBorder="1" applyAlignment="1" applyProtection="1">
      <alignment horizontal="right" vertical="center"/>
    </xf>
    <xf numFmtId="185" fontId="62" fillId="3" borderId="3" xfId="0" applyNumberFormat="1" applyFont="1" applyFill="1" applyBorder="1" applyAlignment="1" applyProtection="1">
      <alignment horizontal="right" vertical="center"/>
    </xf>
    <xf numFmtId="0" fontId="63" fillId="5" borderId="9" xfId="0" applyFont="1" applyFill="1" applyBorder="1" applyAlignment="1" applyProtection="1">
      <alignment horizontal="right" vertical="center"/>
      <protection locked="0"/>
    </xf>
    <xf numFmtId="0" fontId="62" fillId="5" borderId="0" xfId="0" applyFont="1" applyFill="1" applyBorder="1" applyAlignment="1" applyProtection="1">
      <alignment horizontal="left" vertical="center"/>
      <protection locked="0"/>
    </xf>
    <xf numFmtId="185" fontId="62" fillId="3" borderId="131" xfId="0" applyNumberFormat="1" applyFont="1" applyFill="1" applyBorder="1" applyAlignment="1" applyProtection="1">
      <alignment horizontal="right" vertical="center"/>
    </xf>
    <xf numFmtId="185" fontId="62" fillId="3" borderId="174" xfId="0" applyNumberFormat="1" applyFont="1" applyFill="1" applyBorder="1" applyAlignment="1" applyProtection="1">
      <alignment horizontal="right" vertical="center"/>
    </xf>
    <xf numFmtId="0" fontId="62" fillId="3" borderId="7" xfId="0" applyFont="1" applyFill="1" applyBorder="1" applyAlignment="1" applyProtection="1">
      <alignment horizontal="left" vertical="center"/>
    </xf>
    <xf numFmtId="0" fontId="62" fillId="3" borderId="7" xfId="0" applyFont="1" applyFill="1" applyBorder="1" applyAlignment="1" applyProtection="1">
      <alignment horizontal="center" vertical="center"/>
    </xf>
    <xf numFmtId="166" fontId="62" fillId="3" borderId="7" xfId="0" applyNumberFormat="1" applyFont="1" applyFill="1" applyBorder="1" applyAlignment="1" applyProtection="1">
      <alignment horizontal="center" vertical="center"/>
    </xf>
    <xf numFmtId="4" fontId="62" fillId="3" borderId="7" xfId="0" applyNumberFormat="1" applyFont="1" applyFill="1" applyBorder="1" applyAlignment="1" applyProtection="1">
      <alignment horizontal="right" vertical="center"/>
    </xf>
    <xf numFmtId="165" fontId="62" fillId="3" borderId="7" xfId="1" applyNumberFormat="1" applyFont="1" applyFill="1" applyBorder="1" applyAlignment="1" applyProtection="1">
      <alignment vertical="center"/>
    </xf>
    <xf numFmtId="0" fontId="63" fillId="3" borderId="43" xfId="0" applyFont="1" applyFill="1" applyBorder="1" applyAlignment="1" applyProtection="1">
      <alignment horizontal="right" vertical="center"/>
    </xf>
    <xf numFmtId="10" fontId="63" fillId="3" borderId="0" xfId="0" applyNumberFormat="1" applyFont="1" applyFill="1" applyBorder="1" applyAlignment="1" applyProtection="1">
      <alignment horizontal="center" vertical="center"/>
    </xf>
    <xf numFmtId="185" fontId="63" fillId="3" borderId="5" xfId="1" applyNumberFormat="1" applyFont="1" applyFill="1" applyBorder="1" applyAlignment="1" applyProtection="1">
      <alignment horizontal="right" vertical="center"/>
    </xf>
    <xf numFmtId="4" fontId="63" fillId="3" borderId="5" xfId="1" applyNumberFormat="1" applyFont="1" applyFill="1" applyBorder="1" applyAlignment="1" applyProtection="1">
      <alignment vertical="center"/>
    </xf>
    <xf numFmtId="0" fontId="62" fillId="3" borderId="0" xfId="0" applyFont="1" applyFill="1" applyAlignment="1" applyProtection="1">
      <alignment vertical="center"/>
    </xf>
    <xf numFmtId="0" fontId="63" fillId="3" borderId="6" xfId="0" applyFont="1" applyFill="1" applyBorder="1" applyAlignment="1" applyProtection="1">
      <alignment vertical="top"/>
    </xf>
    <xf numFmtId="0" fontId="63" fillId="3" borderId="7" xfId="0" applyFont="1" applyFill="1" applyBorder="1" applyAlignment="1" applyProtection="1">
      <alignment vertical="top"/>
    </xf>
    <xf numFmtId="0" fontId="2" fillId="3" borderId="7" xfId="0" applyFont="1" applyFill="1" applyBorder="1" applyAlignment="1" applyProtection="1">
      <alignment vertical="top" wrapText="1"/>
    </xf>
    <xf numFmtId="0" fontId="2" fillId="3" borderId="8" xfId="0" applyFont="1" applyFill="1" applyBorder="1" applyAlignment="1" applyProtection="1">
      <alignment vertical="top" wrapText="1"/>
    </xf>
    <xf numFmtId="0" fontId="2" fillId="3" borderId="9" xfId="0" applyFont="1" applyFill="1" applyBorder="1" applyAlignment="1" applyProtection="1">
      <alignment horizontal="right" vertical="top"/>
    </xf>
    <xf numFmtId="0" fontId="2" fillId="3" borderId="10" xfId="0" applyFont="1" applyFill="1" applyBorder="1" applyAlignment="1" applyProtection="1">
      <alignment horizontal="justify" vertical="top" wrapText="1"/>
    </xf>
    <xf numFmtId="0" fontId="63" fillId="3" borderId="9" xfId="0" applyFont="1" applyFill="1" applyBorder="1" applyAlignment="1" applyProtection="1">
      <alignment vertical="top"/>
    </xf>
    <xf numFmtId="0" fontId="2" fillId="3" borderId="0" xfId="0" applyFont="1" applyFill="1" applyBorder="1" applyAlignment="1" applyProtection="1">
      <alignment horizontal="justify" vertical="top" wrapText="1"/>
    </xf>
    <xf numFmtId="0" fontId="63" fillId="3" borderId="0" xfId="0" applyFont="1" applyFill="1" applyBorder="1" applyAlignment="1" applyProtection="1">
      <alignment vertical="top"/>
    </xf>
    <xf numFmtId="0" fontId="2" fillId="3" borderId="0" xfId="0" applyFont="1" applyFill="1" applyBorder="1" applyAlignment="1" applyProtection="1">
      <alignment vertical="top" wrapText="1"/>
    </xf>
    <xf numFmtId="0" fontId="2" fillId="3" borderId="10" xfId="0" applyFont="1" applyFill="1" applyBorder="1" applyAlignment="1" applyProtection="1">
      <alignment vertical="top" wrapText="1"/>
    </xf>
    <xf numFmtId="0" fontId="2" fillId="3" borderId="0" xfId="0" applyFont="1" applyFill="1" applyBorder="1" applyAlignment="1" applyProtection="1">
      <alignment horizontal="right" vertical="top"/>
    </xf>
    <xf numFmtId="0" fontId="62" fillId="3" borderId="11" xfId="0" applyFont="1" applyFill="1" applyBorder="1" applyAlignment="1" applyProtection="1">
      <alignment vertical="top"/>
    </xf>
    <xf numFmtId="0" fontId="62" fillId="3" borderId="1" xfId="0" applyFont="1" applyFill="1" applyBorder="1" applyAlignment="1" applyProtection="1">
      <alignment horizontal="right" vertical="top"/>
    </xf>
    <xf numFmtId="0" fontId="62" fillId="3" borderId="1" xfId="0" applyFont="1" applyFill="1" applyBorder="1" applyAlignment="1" applyProtection="1">
      <alignment vertical="top" wrapText="1"/>
    </xf>
    <xf numFmtId="0" fontId="62" fillId="3" borderId="12" xfId="0" applyFont="1" applyFill="1" applyBorder="1" applyAlignment="1" applyProtection="1">
      <alignment vertical="top" wrapText="1"/>
    </xf>
    <xf numFmtId="49" fontId="63" fillId="2" borderId="3" xfId="0" applyNumberFormat="1" applyFont="1" applyFill="1" applyBorder="1" applyAlignment="1" applyProtection="1">
      <alignment horizontal="center" vertical="center" wrapText="1"/>
    </xf>
    <xf numFmtId="0" fontId="62" fillId="3" borderId="2" xfId="0" applyFont="1" applyFill="1" applyBorder="1" applyAlignment="1" applyProtection="1">
      <alignment horizontal="center" vertical="center"/>
    </xf>
    <xf numFmtId="0" fontId="62" fillId="3" borderId="1" xfId="0" applyFont="1" applyFill="1" applyBorder="1" applyAlignment="1" applyProtection="1">
      <alignment horizontal="center" vertical="center"/>
    </xf>
    <xf numFmtId="0" fontId="63" fillId="3" borderId="6" xfId="0" applyFont="1" applyFill="1" applyBorder="1" applyAlignment="1" applyProtection="1">
      <alignment horizontal="right" vertical="center"/>
    </xf>
    <xf numFmtId="0" fontId="63" fillId="3" borderId="7" xfId="0" applyFont="1" applyFill="1" applyBorder="1" applyAlignment="1" applyProtection="1">
      <alignment horizontal="left" vertical="center"/>
    </xf>
    <xf numFmtId="186" fontId="62" fillId="3" borderId="10" xfId="0" applyNumberFormat="1" applyFont="1" applyFill="1" applyBorder="1" applyAlignment="1" applyProtection="1">
      <alignment horizontal="center" vertical="center"/>
    </xf>
    <xf numFmtId="185" fontId="62" fillId="3" borderId="3" xfId="1" applyNumberFormat="1" applyFont="1" applyFill="1" applyBorder="1" applyAlignment="1" applyProtection="1">
      <alignment horizontal="center" vertical="center"/>
    </xf>
    <xf numFmtId="0" fontId="62" fillId="3" borderId="11" xfId="0" applyFont="1" applyFill="1" applyBorder="1" applyAlignment="1" applyProtection="1">
      <alignment horizontal="right" vertical="center"/>
    </xf>
    <xf numFmtId="0" fontId="62" fillId="3" borderId="1" xfId="0" applyFont="1" applyFill="1" applyBorder="1" applyAlignment="1" applyProtection="1">
      <alignment horizontal="left" vertical="center"/>
    </xf>
    <xf numFmtId="0" fontId="62" fillId="3" borderId="12" xfId="0" applyFont="1" applyFill="1" applyBorder="1" applyAlignment="1" applyProtection="1">
      <alignment horizontal="left" vertical="center"/>
    </xf>
    <xf numFmtId="186" fontId="62" fillId="3" borderId="12" xfId="0" applyNumberFormat="1" applyFont="1" applyFill="1" applyBorder="1" applyAlignment="1" applyProtection="1">
      <alignment horizontal="center" vertical="center"/>
    </xf>
    <xf numFmtId="185" fontId="62" fillId="3" borderId="61" xfId="1" applyNumberFormat="1" applyFont="1" applyFill="1" applyBorder="1" applyAlignment="1" applyProtection="1">
      <alignment horizontal="center" vertical="center"/>
    </xf>
    <xf numFmtId="185" fontId="62" fillId="3" borderId="0" xfId="1" applyNumberFormat="1" applyFont="1" applyFill="1" applyBorder="1" applyAlignment="1" applyProtection="1">
      <alignment horizontal="center" vertical="center"/>
    </xf>
    <xf numFmtId="185" fontId="62" fillId="3" borderId="157" xfId="1" applyNumberFormat="1" applyFont="1" applyFill="1" applyBorder="1" applyAlignment="1" applyProtection="1">
      <alignment vertical="center"/>
    </xf>
    <xf numFmtId="0" fontId="62" fillId="3" borderId="8" xfId="0" applyFont="1" applyFill="1" applyBorder="1" applyAlignment="1" applyProtection="1">
      <alignment horizontal="center" vertical="center"/>
    </xf>
    <xf numFmtId="186" fontId="62" fillId="3" borderId="8" xfId="0" applyNumberFormat="1" applyFont="1" applyFill="1" applyBorder="1" applyAlignment="1" applyProtection="1">
      <alignment horizontal="center" vertical="center"/>
    </xf>
    <xf numFmtId="185" fontId="62" fillId="3" borderId="2" xfId="0" applyNumberFormat="1" applyFont="1" applyFill="1" applyBorder="1" applyAlignment="1" applyProtection="1">
      <alignment horizontal="right" vertical="center"/>
    </xf>
    <xf numFmtId="0" fontId="62" fillId="3" borderId="10" xfId="0" applyFont="1" applyFill="1" applyBorder="1" applyAlignment="1" applyProtection="1">
      <alignment horizontal="center" vertical="center"/>
    </xf>
    <xf numFmtId="0" fontId="63" fillId="3" borderId="11" xfId="0" applyFont="1" applyFill="1" applyBorder="1" applyAlignment="1" applyProtection="1">
      <alignment horizontal="right" vertical="center"/>
    </xf>
    <xf numFmtId="0" fontId="63" fillId="3" borderId="1" xfId="0" applyFont="1" applyFill="1" applyBorder="1" applyAlignment="1" applyProtection="1">
      <alignment horizontal="left" vertical="center"/>
    </xf>
    <xf numFmtId="0" fontId="62" fillId="3" borderId="12" xfId="0" applyFont="1" applyFill="1" applyBorder="1" applyAlignment="1" applyProtection="1">
      <alignment horizontal="center" vertical="center"/>
    </xf>
    <xf numFmtId="186" fontId="62" fillId="3" borderId="61" xfId="0" applyNumberFormat="1" applyFont="1" applyFill="1" applyBorder="1" applyAlignment="1" applyProtection="1">
      <alignment horizontal="center" vertical="center"/>
    </xf>
    <xf numFmtId="185" fontId="62" fillId="3" borderId="61" xfId="0" applyNumberFormat="1" applyFont="1" applyFill="1" applyBorder="1" applyAlignment="1" applyProtection="1">
      <alignment horizontal="center" vertical="center"/>
    </xf>
    <xf numFmtId="185" fontId="62" fillId="3" borderId="61" xfId="1" applyNumberFormat="1" applyFont="1" applyFill="1" applyBorder="1" applyAlignment="1" applyProtection="1">
      <alignment horizontal="right" vertical="center"/>
    </xf>
    <xf numFmtId="185" fontId="62" fillId="3" borderId="4" xfId="0" applyNumberFormat="1" applyFont="1" applyFill="1" applyBorder="1" applyAlignment="1" applyProtection="1">
      <alignment vertical="center"/>
    </xf>
    <xf numFmtId="4" fontId="62" fillId="3" borderId="157" xfId="0" applyNumberFormat="1" applyFont="1" applyFill="1" applyBorder="1" applyAlignment="1" applyProtection="1">
      <alignment horizontal="right" vertical="center"/>
    </xf>
    <xf numFmtId="185" fontId="62" fillId="3" borderId="5" xfId="0" applyNumberFormat="1" applyFont="1" applyFill="1" applyBorder="1" applyAlignment="1" applyProtection="1">
      <alignment vertical="center"/>
    </xf>
    <xf numFmtId="0" fontId="62" fillId="3" borderId="43" xfId="0" applyFont="1" applyFill="1" applyBorder="1" applyAlignment="1" applyProtection="1">
      <alignment vertical="center"/>
    </xf>
    <xf numFmtId="186" fontId="62" fillId="3" borderId="4" xfId="0" applyNumberFormat="1" applyFont="1" applyFill="1" applyBorder="1" applyAlignment="1" applyProtection="1">
      <alignment vertical="center"/>
    </xf>
    <xf numFmtId="0" fontId="62" fillId="0" borderId="157" xfId="0" applyFont="1" applyBorder="1" applyAlignment="1" applyProtection="1">
      <alignment vertical="center"/>
    </xf>
    <xf numFmtId="4" fontId="62" fillId="3" borderId="4" xfId="0" applyNumberFormat="1" applyFont="1" applyFill="1" applyBorder="1" applyAlignment="1" applyProtection="1">
      <alignment horizontal="right" vertical="center"/>
    </xf>
    <xf numFmtId="10" fontId="62" fillId="3" borderId="4" xfId="0" applyNumberFormat="1" applyFont="1" applyFill="1" applyBorder="1" applyAlignment="1" applyProtection="1">
      <alignment horizontal="right" vertical="center"/>
    </xf>
    <xf numFmtId="185" fontId="62" fillId="3" borderId="4" xfId="0" applyNumberFormat="1" applyFont="1" applyFill="1" applyBorder="1" applyAlignment="1" applyProtection="1">
      <alignment horizontal="left" vertical="center"/>
    </xf>
    <xf numFmtId="185" fontId="63" fillId="3" borderId="157" xfId="1" applyNumberFormat="1" applyFont="1" applyFill="1" applyBorder="1" applyAlignment="1" applyProtection="1">
      <alignment vertical="center"/>
    </xf>
    <xf numFmtId="0" fontId="62" fillId="3" borderId="0" xfId="0" applyFont="1" applyFill="1" applyBorder="1" applyAlignment="1" applyProtection="1">
      <alignment horizontal="right" vertical="center"/>
    </xf>
    <xf numFmtId="4" fontId="62" fillId="3" borderId="61" xfId="0" applyNumberFormat="1" applyFont="1" applyFill="1" applyBorder="1" applyAlignment="1" applyProtection="1">
      <alignment horizontal="center" vertical="center"/>
    </xf>
    <xf numFmtId="2" fontId="62" fillId="3" borderId="8" xfId="0" applyNumberFormat="1" applyFont="1" applyFill="1" applyBorder="1" applyAlignment="1" applyProtection="1">
      <alignment vertical="center"/>
    </xf>
    <xf numFmtId="186" fontId="62" fillId="3" borderId="3" xfId="0" applyNumberFormat="1" applyFont="1" applyFill="1" applyBorder="1" applyAlignment="1" applyProtection="1">
      <alignment horizontal="center" vertical="center"/>
    </xf>
    <xf numFmtId="166" fontId="62" fillId="3" borderId="3" xfId="0" applyNumberFormat="1" applyFont="1" applyFill="1" applyBorder="1" applyAlignment="1" applyProtection="1">
      <alignment horizontal="center" vertical="center"/>
    </xf>
    <xf numFmtId="0" fontId="62" fillId="3" borderId="9" xfId="0" applyFont="1" applyFill="1" applyBorder="1" applyAlignment="1" applyProtection="1">
      <alignment horizontal="center" vertical="center"/>
    </xf>
    <xf numFmtId="0" fontId="62" fillId="3" borderId="12" xfId="0" applyFont="1" applyFill="1" applyBorder="1" applyAlignment="1" applyProtection="1">
      <alignment vertical="center"/>
    </xf>
    <xf numFmtId="4" fontId="62" fillId="3" borderId="3" xfId="0" applyNumberFormat="1" applyFont="1" applyFill="1" applyBorder="1" applyAlignment="1" applyProtection="1">
      <alignment horizontal="center" vertical="center"/>
    </xf>
    <xf numFmtId="4" fontId="62" fillId="3" borderId="7" xfId="0" applyNumberFormat="1" applyFont="1" applyFill="1" applyBorder="1" applyAlignment="1" applyProtection="1">
      <alignment vertical="center"/>
    </xf>
    <xf numFmtId="165" fontId="62" fillId="3" borderId="0" xfId="1" applyNumberFormat="1" applyFont="1" applyFill="1" applyBorder="1" applyAlignment="1" applyProtection="1">
      <alignment vertical="center"/>
    </xf>
    <xf numFmtId="4" fontId="62" fillId="5" borderId="155" xfId="0" applyNumberFormat="1" applyFont="1" applyFill="1" applyBorder="1" applyAlignment="1" applyProtection="1">
      <alignment horizontal="center" vertical="center"/>
      <protection locked="0"/>
    </xf>
    <xf numFmtId="187" fontId="62" fillId="3" borderId="66" xfId="0" applyNumberFormat="1" applyFont="1" applyFill="1" applyBorder="1" applyAlignment="1" applyProtection="1">
      <alignment horizontal="center" vertical="center"/>
    </xf>
    <xf numFmtId="1" fontId="62" fillId="3" borderId="66" xfId="0" applyNumberFormat="1" applyFont="1" applyFill="1" applyBorder="1" applyAlignment="1" applyProtection="1">
      <alignment horizontal="center" vertical="center"/>
    </xf>
    <xf numFmtId="187" fontId="62" fillId="3" borderId="32" xfId="0" applyNumberFormat="1" applyFont="1" applyFill="1" applyBorder="1" applyAlignment="1" applyProtection="1">
      <alignment horizontal="center" vertical="center"/>
    </xf>
    <xf numFmtId="4" fontId="62" fillId="3" borderId="32" xfId="0" applyNumberFormat="1" applyFont="1" applyFill="1" applyBorder="1" applyAlignment="1" applyProtection="1">
      <alignment horizontal="center" vertical="center"/>
    </xf>
    <xf numFmtId="1" fontId="62" fillId="3" borderId="32" xfId="0" applyNumberFormat="1" applyFont="1" applyFill="1" applyBorder="1" applyAlignment="1" applyProtection="1">
      <alignment horizontal="center" vertical="center"/>
    </xf>
    <xf numFmtId="185" fontId="62" fillId="3" borderId="7" xfId="1" applyNumberFormat="1" applyFont="1" applyFill="1" applyBorder="1" applyAlignment="1" applyProtection="1">
      <alignment vertical="center"/>
    </xf>
    <xf numFmtId="165" fontId="63" fillId="3" borderId="5" xfId="1" applyNumberFormat="1" applyFont="1" applyFill="1" applyBorder="1" applyAlignment="1" applyProtection="1">
      <alignment horizontal="right" vertical="center"/>
    </xf>
    <xf numFmtId="0" fontId="62" fillId="3" borderId="7" xfId="0" applyFont="1" applyFill="1" applyBorder="1" applyAlignment="1" applyProtection="1">
      <alignment horizontal="right" vertical="top"/>
    </xf>
    <xf numFmtId="0" fontId="62" fillId="3" borderId="0" xfId="0" applyFont="1" applyFill="1" applyBorder="1" applyAlignment="1" applyProtection="1">
      <alignment horizontal="right" vertical="top"/>
    </xf>
    <xf numFmtId="0" fontId="62" fillId="3" borderId="1" xfId="0" applyFont="1" applyFill="1" applyBorder="1" applyAlignment="1" applyProtection="1">
      <alignment vertical="top"/>
    </xf>
    <xf numFmtId="0" fontId="63" fillId="3" borderId="0" xfId="0" applyFont="1" applyFill="1" applyBorder="1" applyAlignment="1" applyProtection="1">
      <alignment horizontal="left" vertical="center"/>
    </xf>
    <xf numFmtId="49" fontId="63" fillId="3" borderId="0" xfId="0" applyNumberFormat="1" applyFont="1" applyFill="1" applyBorder="1" applyAlignment="1" applyProtection="1">
      <alignment horizontal="left" vertical="center"/>
    </xf>
    <xf numFmtId="185" fontId="62" fillId="3" borderId="2" xfId="0" applyNumberFormat="1" applyFont="1" applyFill="1" applyBorder="1" applyAlignment="1" applyProtection="1">
      <alignment horizontal="center" vertical="center"/>
    </xf>
    <xf numFmtId="49" fontId="63" fillId="3" borderId="0" xfId="0" applyNumberFormat="1" applyFont="1" applyFill="1" applyBorder="1" applyAlignment="1" applyProtection="1">
      <alignment vertical="center"/>
    </xf>
    <xf numFmtId="0" fontId="63" fillId="3" borderId="9" xfId="0" applyFont="1" applyFill="1" applyBorder="1" applyAlignment="1" applyProtection="1">
      <alignment horizontal="center" vertical="center"/>
    </xf>
    <xf numFmtId="2" fontId="62" fillId="3" borderId="61" xfId="0" applyNumberFormat="1" applyFont="1" applyFill="1" applyBorder="1" applyAlignment="1" applyProtection="1">
      <alignment horizontal="center" vertical="center"/>
    </xf>
    <xf numFmtId="186" fontId="62" fillId="3" borderId="155" xfId="0" applyNumberFormat="1" applyFont="1" applyFill="1" applyBorder="1" applyAlignment="1" applyProtection="1">
      <alignment vertical="center"/>
    </xf>
    <xf numFmtId="166" fontId="62" fillId="3" borderId="0" xfId="0" applyNumberFormat="1" applyFont="1" applyFill="1" applyBorder="1" applyAlignment="1" applyProtection="1">
      <alignment horizontal="center" vertical="center"/>
    </xf>
    <xf numFmtId="185" fontId="62" fillId="3" borderId="3" xfId="1" applyNumberFormat="1" applyFont="1" applyFill="1" applyBorder="1" applyAlignment="1" applyProtection="1">
      <alignment vertical="center"/>
    </xf>
    <xf numFmtId="0" fontId="62" fillId="3" borderId="7" xfId="0" applyFont="1" applyFill="1" applyBorder="1" applyAlignment="1" applyProtection="1">
      <alignment vertical="center" wrapText="1"/>
    </xf>
    <xf numFmtId="0" fontId="62" fillId="3" borderId="8" xfId="0" applyFont="1" applyFill="1" applyBorder="1" applyAlignment="1" applyProtection="1">
      <alignment vertical="center" wrapText="1"/>
    </xf>
    <xf numFmtId="0" fontId="62" fillId="3" borderId="0" xfId="0" applyFont="1" applyFill="1" applyBorder="1" applyAlignment="1" applyProtection="1">
      <alignment horizontal="justify" vertical="center" wrapText="1"/>
    </xf>
    <xf numFmtId="0" fontId="62" fillId="3" borderId="10" xfId="0" applyFont="1" applyFill="1" applyBorder="1" applyAlignment="1" applyProtection="1">
      <alignment horizontal="justify" vertical="center" wrapText="1"/>
    </xf>
    <xf numFmtId="0" fontId="63" fillId="3" borderId="6" xfId="0" applyFont="1" applyFill="1" applyBorder="1" applyAlignment="1" applyProtection="1">
      <alignment horizontal="center" vertical="center"/>
    </xf>
    <xf numFmtId="0" fontId="62" fillId="3" borderId="10" xfId="0" applyFont="1" applyFill="1" applyBorder="1" applyAlignment="1" applyProtection="1">
      <alignment horizontal="left" vertical="center"/>
    </xf>
    <xf numFmtId="0" fontId="62" fillId="3" borderId="11" xfId="0" applyFont="1" applyFill="1" applyBorder="1" applyAlignment="1" applyProtection="1">
      <alignment horizontal="center" vertical="center"/>
    </xf>
    <xf numFmtId="49" fontId="62" fillId="3" borderId="0" xfId="0" applyNumberFormat="1" applyFont="1" applyFill="1" applyBorder="1" applyAlignment="1" applyProtection="1">
      <alignment horizontal="left" vertical="center"/>
    </xf>
    <xf numFmtId="186" fontId="62" fillId="3" borderId="10" xfId="0" applyNumberFormat="1" applyFont="1" applyFill="1" applyBorder="1" applyAlignment="1" applyProtection="1">
      <alignment horizontal="right" vertical="center"/>
    </xf>
    <xf numFmtId="186" fontId="62" fillId="3" borderId="12" xfId="0" applyNumberFormat="1" applyFont="1" applyFill="1" applyBorder="1" applyAlignment="1" applyProtection="1">
      <alignment horizontal="right" vertical="center"/>
    </xf>
    <xf numFmtId="4" fontId="63" fillId="3" borderId="9" xfId="0" applyNumberFormat="1" applyFont="1" applyFill="1" applyBorder="1" applyAlignment="1" applyProtection="1">
      <alignment horizontal="right" vertical="center"/>
    </xf>
    <xf numFmtId="4" fontId="63" fillId="3" borderId="0" xfId="0" applyNumberFormat="1" applyFont="1" applyFill="1" applyBorder="1" applyAlignment="1" applyProtection="1">
      <alignment horizontal="left" vertical="center"/>
    </xf>
    <xf numFmtId="0" fontId="62" fillId="3" borderId="0" xfId="0" applyFont="1" applyFill="1" applyBorder="1" applyAlignment="1" applyProtection="1">
      <alignment horizontal="left" vertical="center" wrapText="1"/>
    </xf>
    <xf numFmtId="186" fontId="62" fillId="3" borderId="9" xfId="0" applyNumberFormat="1" applyFont="1" applyFill="1" applyBorder="1" applyAlignment="1" applyProtection="1">
      <alignment horizontal="center" vertical="center"/>
    </xf>
    <xf numFmtId="0" fontId="62" fillId="3" borderId="9" xfId="0" applyFont="1" applyFill="1" applyBorder="1" applyAlignment="1" applyProtection="1">
      <alignment horizontal="right" vertical="center"/>
    </xf>
    <xf numFmtId="0" fontId="62" fillId="3" borderId="2" xfId="4" applyFont="1" applyFill="1" applyBorder="1" applyAlignment="1" applyProtection="1">
      <alignment horizontal="center" vertical="center"/>
    </xf>
    <xf numFmtId="4" fontId="62" fillId="3" borderId="61" xfId="4" applyNumberFormat="1" applyFont="1" applyFill="1" applyBorder="1" applyAlignment="1" applyProtection="1">
      <alignment horizontal="center" vertical="center"/>
    </xf>
    <xf numFmtId="0" fontId="62" fillId="3" borderId="61" xfId="4" applyFont="1" applyFill="1" applyBorder="1" applyAlignment="1" applyProtection="1">
      <alignment horizontal="center" vertical="center"/>
    </xf>
    <xf numFmtId="4" fontId="63" fillId="3" borderId="6" xfId="4" applyNumberFormat="1" applyFont="1" applyFill="1" applyBorder="1" applyAlignment="1" applyProtection="1">
      <alignment vertical="center"/>
    </xf>
    <xf numFmtId="4" fontId="63" fillId="3" borderId="7" xfId="4" applyNumberFormat="1" applyFont="1" applyFill="1" applyBorder="1" applyAlignment="1" applyProtection="1">
      <alignment vertical="center"/>
    </xf>
    <xf numFmtId="4" fontId="63" fillId="3" borderId="8" xfId="4" applyNumberFormat="1" applyFont="1" applyFill="1" applyBorder="1" applyAlignment="1" applyProtection="1">
      <alignment vertical="center"/>
    </xf>
    <xf numFmtId="10" fontId="62" fillId="5" borderId="6" xfId="2" applyNumberFormat="1" applyFont="1" applyFill="1" applyBorder="1" applyAlignment="1" applyProtection="1">
      <alignment horizontal="center" vertical="center"/>
      <protection locked="0"/>
    </xf>
    <xf numFmtId="187" fontId="62" fillId="3" borderId="6" xfId="4" applyNumberFormat="1" applyFont="1" applyFill="1" applyBorder="1" applyAlignment="1" applyProtection="1">
      <alignment vertical="center"/>
    </xf>
    <xf numFmtId="187" fontId="62" fillId="3" borderId="7" xfId="4" applyNumberFormat="1" applyFont="1" applyFill="1" applyBorder="1" applyAlignment="1" applyProtection="1">
      <alignment vertical="center"/>
    </xf>
    <xf numFmtId="166" fontId="62" fillId="3" borderId="8" xfId="4" applyNumberFormat="1" applyFont="1" applyFill="1" applyBorder="1" applyAlignment="1" applyProtection="1">
      <alignment horizontal="center" vertical="center"/>
    </xf>
    <xf numFmtId="185" fontId="62" fillId="3" borderId="2" xfId="1" applyNumberFormat="1" applyFont="1" applyFill="1" applyBorder="1" applyAlignment="1" applyProtection="1">
      <alignment horizontal="right" vertical="center"/>
    </xf>
    <xf numFmtId="4" fontId="63" fillId="3" borderId="9" xfId="4" applyNumberFormat="1" applyFont="1" applyFill="1" applyBorder="1" applyAlignment="1" applyProtection="1">
      <alignment vertical="center"/>
    </xf>
    <xf numFmtId="4" fontId="63" fillId="3" borderId="0" xfId="4" applyNumberFormat="1" applyFont="1" applyFill="1" applyBorder="1" applyAlignment="1" applyProtection="1">
      <alignment vertical="center"/>
    </xf>
    <xf numFmtId="4" fontId="63" fillId="3" borderId="10" xfId="4" applyNumberFormat="1" applyFont="1" applyFill="1" applyBorder="1" applyAlignment="1" applyProtection="1">
      <alignment vertical="center"/>
    </xf>
    <xf numFmtId="10" fontId="62" fillId="5" borderId="9" xfId="2" applyNumberFormat="1" applyFont="1" applyFill="1" applyBorder="1" applyAlignment="1" applyProtection="1">
      <alignment horizontal="center" vertical="center"/>
      <protection locked="0"/>
    </xf>
    <xf numFmtId="187" fontId="62" fillId="3" borderId="9" xfId="4" applyNumberFormat="1" applyFont="1" applyFill="1" applyBorder="1" applyAlignment="1" applyProtection="1">
      <alignment vertical="center"/>
    </xf>
    <xf numFmtId="187" fontId="62" fillId="3" borderId="0" xfId="4" applyNumberFormat="1" applyFont="1" applyFill="1" applyBorder="1" applyAlignment="1" applyProtection="1">
      <alignment vertical="center"/>
    </xf>
    <xf numFmtId="166" fontId="62" fillId="3" borderId="10" xfId="4" applyNumberFormat="1" applyFont="1" applyFill="1" applyBorder="1" applyAlignment="1" applyProtection="1">
      <alignment horizontal="center" vertical="center"/>
    </xf>
    <xf numFmtId="4" fontId="63" fillId="3" borderId="11" xfId="4" applyNumberFormat="1" applyFont="1" applyFill="1" applyBorder="1" applyAlignment="1" applyProtection="1">
      <alignment vertical="center"/>
    </xf>
    <xf numFmtId="4" fontId="63" fillId="3" borderId="1" xfId="4" applyNumberFormat="1" applyFont="1" applyFill="1" applyBorder="1" applyAlignment="1" applyProtection="1">
      <alignment vertical="center"/>
    </xf>
    <xf numFmtId="4" fontId="63" fillId="3" borderId="12" xfId="4" applyNumberFormat="1" applyFont="1" applyFill="1" applyBorder="1" applyAlignment="1" applyProtection="1">
      <alignment vertical="center"/>
    </xf>
    <xf numFmtId="10" fontId="62" fillId="5" borderId="11" xfId="2" applyNumberFormat="1" applyFont="1" applyFill="1" applyBorder="1" applyAlignment="1" applyProtection="1">
      <alignment horizontal="center" vertical="center"/>
      <protection locked="0"/>
    </xf>
    <xf numFmtId="0" fontId="62" fillId="3" borderId="11" xfId="4" applyFont="1" applyFill="1" applyBorder="1" applyAlignment="1" applyProtection="1">
      <alignment vertical="center"/>
    </xf>
    <xf numFmtId="0" fontId="62" fillId="3" borderId="1" xfId="4" applyFont="1" applyFill="1" applyBorder="1" applyAlignment="1" applyProtection="1">
      <alignment vertical="center"/>
    </xf>
    <xf numFmtId="166" fontId="62" fillId="3" borderId="12" xfId="4" applyNumberFormat="1" applyFont="1" applyFill="1" applyBorder="1" applyAlignment="1" applyProtection="1">
      <alignment horizontal="center" vertical="center"/>
    </xf>
    <xf numFmtId="185" fontId="62" fillId="3" borderId="10" xfId="4" applyNumberFormat="1" applyFont="1" applyFill="1" applyBorder="1" applyAlignment="1" applyProtection="1">
      <alignment horizontal="right" vertical="center"/>
    </xf>
    <xf numFmtId="0" fontId="63" fillId="3" borderId="4" xfId="0" applyFont="1" applyFill="1" applyBorder="1" applyAlignment="1" applyProtection="1">
      <alignment horizontal="right" vertical="center"/>
    </xf>
    <xf numFmtId="10" fontId="63" fillId="3" borderId="0" xfId="0" applyNumberFormat="1" applyFont="1" applyFill="1" applyBorder="1" applyAlignment="1" applyProtection="1">
      <alignment horizontal="right" vertical="center"/>
    </xf>
    <xf numFmtId="9" fontId="63" fillId="5" borderId="5" xfId="2" applyFont="1" applyFill="1" applyBorder="1" applyAlignment="1" applyProtection="1">
      <alignment horizontal="right" vertical="center"/>
      <protection locked="0"/>
    </xf>
    <xf numFmtId="0" fontId="63" fillId="3" borderId="7" xfId="0" applyFont="1" applyFill="1" applyBorder="1" applyAlignment="1" applyProtection="1">
      <alignment horizontal="right" vertical="top"/>
    </xf>
    <xf numFmtId="0" fontId="62" fillId="3" borderId="0" xfId="0" applyFont="1" applyFill="1" applyBorder="1" applyAlignment="1" applyProtection="1">
      <alignment vertical="top"/>
    </xf>
    <xf numFmtId="0" fontId="63" fillId="3" borderId="11" xfId="0" applyFont="1" applyFill="1" applyBorder="1" applyAlignment="1" applyProtection="1">
      <alignment vertical="top"/>
    </xf>
    <xf numFmtId="0" fontId="62" fillId="3" borderId="1" xfId="0" applyFont="1" applyFill="1" applyBorder="1" applyAlignment="1" applyProtection="1">
      <alignment horizontal="right" vertical="center"/>
    </xf>
    <xf numFmtId="9" fontId="62" fillId="0" borderId="0" xfId="2" applyFont="1" applyBorder="1" applyAlignment="1" applyProtection="1"/>
    <xf numFmtId="9" fontId="2" fillId="0" borderId="0" xfId="0" applyNumberFormat="1" applyFont="1" applyProtection="1"/>
    <xf numFmtId="9" fontId="62" fillId="0" borderId="0" xfId="0" applyNumberFormat="1" applyFont="1" applyProtection="1"/>
    <xf numFmtId="0" fontId="63" fillId="3" borderId="0" xfId="4" applyFont="1" applyFill="1" applyBorder="1" applyAlignment="1" applyProtection="1">
      <alignment horizontal="left" vertical="center"/>
    </xf>
    <xf numFmtId="185" fontId="62" fillId="3" borderId="3" xfId="0" applyNumberFormat="1" applyFont="1" applyFill="1" applyBorder="1" applyAlignment="1" applyProtection="1">
      <alignment horizontal="right" vertical="center" wrapText="1"/>
    </xf>
    <xf numFmtId="0" fontId="63" fillId="3" borderId="9" xfId="4" applyFont="1" applyFill="1" applyBorder="1" applyAlignment="1" applyProtection="1">
      <alignment horizontal="right" vertical="center"/>
    </xf>
    <xf numFmtId="0" fontId="62" fillId="3" borderId="0" xfId="4" applyFont="1" applyFill="1" applyBorder="1" applyAlignment="1" applyProtection="1">
      <alignment horizontal="center" vertical="center"/>
    </xf>
    <xf numFmtId="0" fontId="62" fillId="3" borderId="0" xfId="4" applyFont="1" applyFill="1" applyBorder="1" applyAlignment="1" applyProtection="1">
      <alignment horizontal="left" vertical="center"/>
    </xf>
    <xf numFmtId="49" fontId="62" fillId="3" borderId="0" xfId="4" applyNumberFormat="1" applyFont="1" applyFill="1" applyBorder="1" applyAlignment="1" applyProtection="1">
      <alignment horizontal="left" vertical="center"/>
    </xf>
    <xf numFmtId="0" fontId="62" fillId="3" borderId="0" xfId="4" applyFont="1" applyFill="1" applyBorder="1" applyAlignment="1" applyProtection="1">
      <alignment vertical="center"/>
    </xf>
    <xf numFmtId="0" fontId="62" fillId="3" borderId="10" xfId="4" applyFont="1" applyFill="1" applyBorder="1" applyAlignment="1" applyProtection="1">
      <alignment horizontal="center" vertical="center"/>
    </xf>
    <xf numFmtId="186" fontId="62" fillId="3" borderId="10" xfId="4" applyNumberFormat="1" applyFont="1" applyFill="1" applyBorder="1" applyAlignment="1" applyProtection="1">
      <alignment horizontal="right" vertical="center"/>
    </xf>
    <xf numFmtId="185" fontId="62" fillId="3" borderId="3" xfId="4" applyNumberFormat="1" applyFont="1" applyFill="1" applyBorder="1" applyAlignment="1" applyProtection="1">
      <alignment horizontal="right" vertical="center"/>
    </xf>
    <xf numFmtId="49" fontId="63" fillId="3" borderId="0" xfId="4" applyNumberFormat="1" applyFont="1" applyFill="1" applyBorder="1" applyAlignment="1" applyProtection="1">
      <alignment horizontal="left" vertical="center"/>
    </xf>
    <xf numFmtId="186" fontId="62" fillId="3" borderId="61" xfId="4" applyNumberFormat="1" applyFont="1" applyFill="1" applyBorder="1" applyAlignment="1" applyProtection="1">
      <alignment horizontal="right" vertical="center"/>
    </xf>
    <xf numFmtId="186" fontId="62" fillId="5" borderId="4" xfId="0" applyNumberFormat="1" applyFont="1" applyFill="1" applyBorder="1" applyAlignment="1" applyProtection="1">
      <alignment vertical="center"/>
      <protection locked="0"/>
    </xf>
    <xf numFmtId="0" fontId="63" fillId="3" borderId="7" xfId="0" applyFont="1" applyFill="1" applyBorder="1" applyAlignment="1" applyProtection="1">
      <alignment horizontal="right" vertical="center"/>
    </xf>
    <xf numFmtId="165" fontId="63" fillId="3" borderId="0" xfId="1" applyNumberFormat="1" applyFont="1" applyFill="1" applyBorder="1" applyAlignment="1" applyProtection="1">
      <alignment vertical="center"/>
    </xf>
    <xf numFmtId="186" fontId="62" fillId="3" borderId="2" xfId="0" applyNumberFormat="1" applyFont="1" applyFill="1" applyBorder="1" applyAlignment="1" applyProtection="1">
      <alignment horizontal="center" vertical="center"/>
    </xf>
    <xf numFmtId="0" fontId="69" fillId="3" borderId="0" xfId="0" applyFont="1" applyFill="1" applyBorder="1" applyAlignment="1" applyProtection="1">
      <alignment horizontal="left" vertical="center"/>
      <protection hidden="1"/>
    </xf>
    <xf numFmtId="0" fontId="62" fillId="5" borderId="5" xfId="0" applyFont="1" applyFill="1" applyBorder="1" applyAlignment="1" applyProtection="1">
      <alignment horizontal="center" vertical="center"/>
      <protection locked="0"/>
    </xf>
    <xf numFmtId="185" fontId="63" fillId="3" borderId="157" xfId="1" applyNumberFormat="1" applyFont="1" applyFill="1" applyBorder="1" applyAlignment="1" applyProtection="1">
      <alignment horizontal="right" vertical="center"/>
    </xf>
    <xf numFmtId="165" fontId="63" fillId="3" borderId="5" xfId="1" applyNumberFormat="1" applyFont="1" applyFill="1" applyBorder="1" applyAlignment="1" applyProtection="1">
      <alignment horizontal="right" vertical="center"/>
    </xf>
    <xf numFmtId="0" fontId="62" fillId="3" borderId="9" xfId="0" applyFont="1" applyFill="1" applyBorder="1" applyAlignment="1" applyProtection="1">
      <alignment vertical="top"/>
    </xf>
    <xf numFmtId="188" fontId="62" fillId="3" borderId="10" xfId="0" applyNumberFormat="1" applyFont="1" applyFill="1" applyBorder="1" applyAlignment="1" applyProtection="1">
      <alignment horizontal="center" vertical="center"/>
    </xf>
    <xf numFmtId="188" fontId="62" fillId="3" borderId="12" xfId="0" applyNumberFormat="1" applyFont="1" applyFill="1" applyBorder="1" applyAlignment="1" applyProtection="1">
      <alignment horizontal="center" vertical="center"/>
    </xf>
    <xf numFmtId="188" fontId="62" fillId="5" borderId="2" xfId="0" applyNumberFormat="1" applyFont="1" applyFill="1" applyBorder="1" applyAlignment="1" applyProtection="1">
      <alignment horizontal="center" vertical="center"/>
      <protection locked="0"/>
    </xf>
    <xf numFmtId="188" fontId="62" fillId="5" borderId="3" xfId="0" applyNumberFormat="1" applyFont="1" applyFill="1" applyBorder="1" applyAlignment="1" applyProtection="1">
      <alignment horizontal="center" vertical="center"/>
      <protection locked="0"/>
    </xf>
    <xf numFmtId="4" fontId="62" fillId="3" borderId="0" xfId="0" applyNumberFormat="1" applyFont="1" applyFill="1" applyBorder="1" applyAlignment="1" applyProtection="1">
      <alignment horizontal="left" vertical="center"/>
    </xf>
    <xf numFmtId="4" fontId="62" fillId="3" borderId="0" xfId="0" applyNumberFormat="1" applyFont="1" applyFill="1" applyBorder="1" applyAlignment="1" applyProtection="1">
      <alignment vertical="center"/>
    </xf>
    <xf numFmtId="4" fontId="62" fillId="3" borderId="10" xfId="0" applyNumberFormat="1" applyFont="1" applyFill="1" applyBorder="1" applyAlignment="1" applyProtection="1">
      <alignment horizontal="center" vertical="center"/>
    </xf>
    <xf numFmtId="188" fontId="62" fillId="5" borderId="10" xfId="0" applyNumberFormat="1" applyFont="1" applyFill="1" applyBorder="1" applyAlignment="1" applyProtection="1">
      <alignment horizontal="center" vertical="center"/>
      <protection locked="0"/>
    </xf>
    <xf numFmtId="0" fontId="62" fillId="5" borderId="0" xfId="0" applyFont="1" applyFill="1" applyBorder="1" applyAlignment="1" applyProtection="1">
      <alignment vertical="center"/>
      <protection locked="0"/>
    </xf>
    <xf numFmtId="0" fontId="62" fillId="5" borderId="10" xfId="0" applyFont="1" applyFill="1" applyBorder="1" applyAlignment="1" applyProtection="1">
      <alignment horizontal="center" vertical="center"/>
      <protection locked="0"/>
    </xf>
    <xf numFmtId="0" fontId="63" fillId="5" borderId="11" xfId="0" applyFont="1" applyFill="1" applyBorder="1" applyAlignment="1" applyProtection="1">
      <alignment horizontal="right" vertical="center"/>
      <protection locked="0"/>
    </xf>
    <xf numFmtId="2" fontId="63" fillId="5" borderId="1" xfId="0" applyNumberFormat="1" applyFont="1" applyFill="1" applyBorder="1" applyAlignment="1" applyProtection="1">
      <alignment horizontal="left" vertical="center"/>
      <protection locked="0"/>
    </xf>
    <xf numFmtId="0" fontId="62" fillId="5" borderId="1" xfId="0" applyFont="1" applyFill="1" applyBorder="1" applyAlignment="1" applyProtection="1">
      <alignment horizontal="left" vertical="center"/>
      <protection locked="0"/>
    </xf>
    <xf numFmtId="0" fontId="62" fillId="5" borderId="1" xfId="0" applyFont="1" applyFill="1" applyBorder="1" applyAlignment="1" applyProtection="1">
      <alignment vertical="center"/>
      <protection locked="0"/>
    </xf>
    <xf numFmtId="0" fontId="62" fillId="5" borderId="1" xfId="0" applyFont="1" applyFill="1" applyBorder="1" applyAlignment="1" applyProtection="1">
      <alignment horizontal="center" vertical="center"/>
      <protection locked="0"/>
    </xf>
    <xf numFmtId="0" fontId="62" fillId="5" borderId="12" xfId="0" applyFont="1" applyFill="1" applyBorder="1" applyAlignment="1" applyProtection="1">
      <alignment horizontal="center" vertical="center"/>
      <protection locked="0"/>
    </xf>
    <xf numFmtId="188" fontId="62" fillId="5" borderId="12" xfId="0" applyNumberFormat="1" applyFont="1" applyFill="1" applyBorder="1" applyAlignment="1" applyProtection="1">
      <alignment horizontal="center" vertical="center"/>
      <protection locked="0"/>
    </xf>
    <xf numFmtId="4" fontId="62" fillId="5" borderId="3" xfId="0" applyNumberFormat="1" applyFont="1" applyFill="1" applyBorder="1" applyAlignment="1" applyProtection="1">
      <alignment horizontal="center" vertical="center"/>
      <protection locked="0"/>
    </xf>
    <xf numFmtId="2" fontId="63" fillId="5" borderId="0" xfId="0" applyNumberFormat="1" applyFont="1" applyFill="1" applyBorder="1" applyAlignment="1" applyProtection="1">
      <alignment horizontal="right" vertical="center"/>
      <protection locked="0"/>
    </xf>
    <xf numFmtId="0" fontId="62" fillId="5" borderId="10" xfId="0" applyFont="1" applyFill="1" applyBorder="1" applyAlignment="1" applyProtection="1">
      <alignment vertical="center"/>
      <protection locked="0"/>
    </xf>
    <xf numFmtId="0" fontId="62" fillId="5" borderId="11" xfId="0" applyFont="1" applyFill="1" applyBorder="1" applyAlignment="1" applyProtection="1">
      <alignment horizontal="center" vertical="center"/>
      <protection locked="0"/>
    </xf>
    <xf numFmtId="2" fontId="62" fillId="5" borderId="1" xfId="0" applyNumberFormat="1" applyFont="1" applyFill="1" applyBorder="1" applyAlignment="1" applyProtection="1">
      <alignment horizontal="center" vertical="center"/>
      <protection locked="0"/>
    </xf>
    <xf numFmtId="0" fontId="62" fillId="5" borderId="12" xfId="0" applyFont="1" applyFill="1" applyBorder="1" applyAlignment="1" applyProtection="1">
      <alignment vertical="center"/>
      <protection locked="0"/>
    </xf>
    <xf numFmtId="188" fontId="62" fillId="3" borderId="3" xfId="0" applyNumberFormat="1" applyFont="1" applyFill="1" applyBorder="1" applyAlignment="1" applyProtection="1">
      <alignment horizontal="center" vertical="center"/>
    </xf>
    <xf numFmtId="187" fontId="62" fillId="3" borderId="34" xfId="0" applyNumberFormat="1" applyFont="1" applyFill="1" applyBorder="1" applyAlignment="1" applyProtection="1">
      <alignment horizontal="center" vertical="center"/>
    </xf>
    <xf numFmtId="4" fontId="62" fillId="3" borderId="34" xfId="0" applyNumberFormat="1" applyFont="1" applyFill="1" applyBorder="1" applyAlignment="1" applyProtection="1">
      <alignment horizontal="center" vertical="center"/>
    </xf>
    <xf numFmtId="188" fontId="62" fillId="3" borderId="61" xfId="0" applyNumberFormat="1" applyFont="1" applyFill="1" applyBorder="1" applyAlignment="1" applyProtection="1">
      <alignment horizontal="center" vertical="center"/>
    </xf>
    <xf numFmtId="4" fontId="63" fillId="3" borderId="5" xfId="1" applyNumberFormat="1" applyFont="1" applyFill="1" applyBorder="1" applyAlignment="1" applyProtection="1">
      <alignment horizontal="right" vertical="center"/>
    </xf>
    <xf numFmtId="0" fontId="62" fillId="3" borderId="0" xfId="0" applyFont="1" applyFill="1" applyBorder="1" applyAlignment="1" applyProtection="1">
      <alignment horizontal="left" vertical="top" wrapText="1"/>
    </xf>
    <xf numFmtId="0" fontId="62" fillId="3" borderId="10" xfId="0" applyFont="1" applyFill="1" applyBorder="1" applyAlignment="1" applyProtection="1">
      <alignment horizontal="left" vertical="top" wrapText="1"/>
    </xf>
    <xf numFmtId="0" fontId="62" fillId="3" borderId="1" xfId="0" applyFont="1" applyFill="1" applyBorder="1" applyAlignment="1" applyProtection="1">
      <alignment horizontal="left" vertical="top" wrapText="1"/>
    </xf>
    <xf numFmtId="0" fontId="62" fillId="3" borderId="12" xfId="0" applyFont="1" applyFill="1" applyBorder="1" applyAlignment="1" applyProtection="1">
      <alignment horizontal="left" vertical="top" wrapText="1"/>
    </xf>
    <xf numFmtId="185" fontId="62" fillId="3" borderId="10" xfId="1" applyNumberFormat="1" applyFont="1" applyFill="1" applyBorder="1" applyAlignment="1" applyProtection="1">
      <alignment vertical="center"/>
    </xf>
    <xf numFmtId="0" fontId="62" fillId="3" borderId="9" xfId="0" applyFont="1" applyFill="1" applyBorder="1" applyAlignment="1" applyProtection="1">
      <alignment horizontal="left" vertical="center"/>
    </xf>
    <xf numFmtId="185" fontId="62" fillId="3" borderId="2" xfId="1" applyNumberFormat="1" applyFont="1" applyFill="1" applyBorder="1" applyAlignment="1" applyProtection="1">
      <alignment vertical="center"/>
    </xf>
    <xf numFmtId="185" fontId="62" fillId="3" borderId="61" xfId="1" applyNumberFormat="1" applyFont="1" applyFill="1" applyBorder="1" applyAlignment="1" applyProtection="1">
      <alignment vertical="center"/>
    </xf>
    <xf numFmtId="186" fontId="62" fillId="3" borderId="61" xfId="0" applyNumberFormat="1" applyFont="1" applyFill="1" applyBorder="1" applyAlignment="1" applyProtection="1">
      <alignment vertical="center"/>
    </xf>
    <xf numFmtId="0" fontId="62" fillId="3" borderId="9" xfId="0" applyFont="1" applyFill="1" applyBorder="1" applyAlignment="1" applyProtection="1">
      <alignment vertical="top" wrapText="1"/>
    </xf>
    <xf numFmtId="0" fontId="62" fillId="3" borderId="0" xfId="0" applyFont="1" applyFill="1" applyBorder="1" applyAlignment="1" applyProtection="1">
      <alignment vertical="top" wrapText="1"/>
    </xf>
    <xf numFmtId="0" fontId="62" fillId="3" borderId="10" xfId="0" applyFont="1" applyFill="1" applyBorder="1" applyAlignment="1" applyProtection="1">
      <alignment vertical="top" wrapText="1"/>
    </xf>
    <xf numFmtId="0" fontId="62" fillId="3" borderId="11" xfId="0" applyFont="1" applyFill="1" applyBorder="1" applyAlignment="1" applyProtection="1">
      <alignment vertical="top" wrapText="1"/>
    </xf>
    <xf numFmtId="0" fontId="62" fillId="3" borderId="4" xfId="0" applyFont="1" applyFill="1" applyBorder="1" applyAlignment="1" applyProtection="1">
      <alignment horizontal="right" vertical="center"/>
    </xf>
    <xf numFmtId="0" fontId="62" fillId="3" borderId="10" xfId="0" applyFont="1" applyFill="1" applyBorder="1" applyAlignment="1" applyProtection="1">
      <alignment vertical="top"/>
    </xf>
    <xf numFmtId="0" fontId="62" fillId="3" borderId="12" xfId="0" applyFont="1" applyFill="1" applyBorder="1" applyAlignment="1" applyProtection="1">
      <alignment vertical="top"/>
    </xf>
    <xf numFmtId="185" fontId="62" fillId="3" borderId="0" xfId="1" applyNumberFormat="1" applyFont="1" applyFill="1" applyBorder="1" applyAlignment="1" applyProtection="1">
      <alignment vertical="center"/>
    </xf>
    <xf numFmtId="185" fontId="62" fillId="3" borderId="3" xfId="0" applyNumberFormat="1" applyFont="1" applyFill="1" applyBorder="1" applyAlignment="1" applyProtection="1">
      <alignment vertical="center"/>
    </xf>
    <xf numFmtId="0" fontId="62" fillId="0" borderId="157" xfId="0" applyFont="1" applyBorder="1" applyAlignment="1" applyProtection="1">
      <alignment horizontal="left" vertical="center"/>
    </xf>
    <xf numFmtId="2" fontId="63" fillId="2" borderId="4" xfId="0" applyNumberFormat="1" applyFont="1" applyFill="1" applyBorder="1" applyAlignment="1" applyProtection="1">
      <alignment horizontal="left" vertical="center"/>
    </xf>
    <xf numFmtId="165" fontId="63" fillId="3" borderId="157" xfId="1" applyNumberFormat="1" applyFont="1" applyFill="1" applyBorder="1" applyAlignment="1" applyProtection="1">
      <alignment vertical="center"/>
    </xf>
    <xf numFmtId="185" fontId="62" fillId="3" borderId="5" xfId="0" applyNumberFormat="1" applyFont="1" applyFill="1" applyBorder="1" applyAlignment="1" applyProtection="1">
      <alignment horizontal="right" vertical="center"/>
    </xf>
    <xf numFmtId="185" fontId="62" fillId="3" borderId="4" xfId="0" applyNumberFormat="1" applyFont="1" applyFill="1" applyBorder="1" applyAlignment="1" applyProtection="1">
      <alignment horizontal="right" vertical="center"/>
    </xf>
    <xf numFmtId="0" fontId="63" fillId="2" borderId="157" xfId="0" applyFont="1" applyFill="1" applyBorder="1" applyAlignment="1" applyProtection="1">
      <alignment horizontal="left" vertical="center"/>
      <protection locked="0"/>
    </xf>
    <xf numFmtId="185" fontId="62" fillId="3" borderId="0" xfId="0" applyNumberFormat="1" applyFont="1" applyFill="1" applyBorder="1" applyAlignment="1" applyProtection="1">
      <alignment horizontal="center" vertical="center"/>
    </xf>
    <xf numFmtId="186" fontId="62" fillId="3" borderId="4" xfId="0" applyNumberFormat="1" applyFont="1" applyFill="1" applyBorder="1" applyAlignment="1" applyProtection="1">
      <alignment horizontal="right" vertical="center"/>
    </xf>
    <xf numFmtId="4" fontId="62" fillId="3" borderId="10" xfId="0" applyNumberFormat="1" applyFont="1" applyFill="1" applyBorder="1" applyAlignment="1" applyProtection="1">
      <alignment vertical="center"/>
    </xf>
    <xf numFmtId="4" fontId="62" fillId="3" borderId="9" xfId="0" applyNumberFormat="1" applyFont="1" applyFill="1" applyBorder="1" applyAlignment="1" applyProtection="1">
      <alignment horizontal="right" vertical="center"/>
    </xf>
    <xf numFmtId="4" fontId="62" fillId="3" borderId="1" xfId="0" applyNumberFormat="1" applyFont="1" applyFill="1" applyBorder="1" applyAlignment="1" applyProtection="1">
      <alignment horizontal="left" vertical="center"/>
    </xf>
    <xf numFmtId="4" fontId="62" fillId="3" borderId="12" xfId="0" applyNumberFormat="1" applyFont="1" applyFill="1" applyBorder="1" applyAlignment="1" applyProtection="1">
      <alignment vertical="center"/>
    </xf>
    <xf numFmtId="186" fontId="62" fillId="3" borderId="66" xfId="0" applyNumberFormat="1" applyFont="1" applyFill="1" applyBorder="1" applyAlignment="1" applyProtection="1">
      <alignment vertical="center"/>
    </xf>
    <xf numFmtId="166" fontId="62" fillId="3" borderId="131" xfId="0" applyNumberFormat="1" applyFont="1" applyFill="1" applyBorder="1" applyAlignment="1" applyProtection="1">
      <alignment horizontal="center" vertical="center"/>
    </xf>
    <xf numFmtId="185" fontId="62" fillId="3" borderId="66" xfId="0" applyNumberFormat="1" applyFont="1" applyFill="1" applyBorder="1" applyAlignment="1" applyProtection="1">
      <alignment horizontal="right" vertical="center"/>
    </xf>
    <xf numFmtId="186" fontId="62" fillId="3" borderId="32" xfId="0" applyNumberFormat="1" applyFont="1" applyFill="1" applyBorder="1" applyAlignment="1" applyProtection="1">
      <alignment vertical="center"/>
    </xf>
    <xf numFmtId="166" fontId="62" fillId="3" borderId="117" xfId="0" applyNumberFormat="1" applyFont="1" applyFill="1" applyBorder="1" applyAlignment="1" applyProtection="1">
      <alignment horizontal="center" vertical="center"/>
    </xf>
    <xf numFmtId="185" fontId="62" fillId="3" borderId="32" xfId="0" applyNumberFormat="1" applyFont="1" applyFill="1" applyBorder="1" applyAlignment="1" applyProtection="1">
      <alignment horizontal="right" vertical="center"/>
    </xf>
    <xf numFmtId="4" fontId="63" fillId="3" borderId="9" xfId="0" applyNumberFormat="1" applyFont="1" applyFill="1" applyBorder="1" applyAlignment="1" applyProtection="1">
      <alignment horizontal="center" vertical="center"/>
    </xf>
    <xf numFmtId="2" fontId="62" fillId="3" borderId="1" xfId="0" applyNumberFormat="1" applyFont="1" applyFill="1" applyBorder="1" applyAlignment="1" applyProtection="1">
      <alignment vertical="top" wrapText="1"/>
    </xf>
    <xf numFmtId="2" fontId="62" fillId="3" borderId="12" xfId="0" applyNumberFormat="1" applyFont="1" applyFill="1" applyBorder="1" applyAlignment="1" applyProtection="1">
      <alignment vertical="top" wrapText="1"/>
    </xf>
    <xf numFmtId="4" fontId="63" fillId="3" borderId="6" xfId="0" applyNumberFormat="1" applyFont="1" applyFill="1" applyBorder="1" applyAlignment="1" applyProtection="1">
      <alignment horizontal="right" vertical="center"/>
    </xf>
    <xf numFmtId="4" fontId="63" fillId="3" borderId="7" xfId="0" applyNumberFormat="1" applyFont="1" applyFill="1" applyBorder="1" applyAlignment="1" applyProtection="1">
      <alignment horizontal="left" vertical="center"/>
    </xf>
    <xf numFmtId="4" fontId="62" fillId="3" borderId="2" xfId="0" applyNumberFormat="1" applyFont="1" applyFill="1" applyBorder="1" applyAlignment="1" applyProtection="1">
      <alignment horizontal="center" vertical="center"/>
    </xf>
    <xf numFmtId="4" fontId="63" fillId="3" borderId="0" xfId="0" applyNumberFormat="1" applyFont="1" applyFill="1" applyBorder="1" applyAlignment="1" applyProtection="1">
      <alignment horizontal="center" vertical="center"/>
    </xf>
    <xf numFmtId="4" fontId="62" fillId="3" borderId="11" xfId="0" applyNumberFormat="1" applyFont="1" applyFill="1" applyBorder="1" applyAlignment="1" applyProtection="1">
      <alignment horizontal="center" vertical="center"/>
    </xf>
    <xf numFmtId="4" fontId="62" fillId="3" borderId="1" xfId="0" applyNumberFormat="1" applyFont="1" applyFill="1" applyBorder="1" applyAlignment="1" applyProtection="1">
      <alignment horizontal="center" vertical="center"/>
    </xf>
    <xf numFmtId="166" fontId="62" fillId="3" borderId="61" xfId="0" applyNumberFormat="1" applyFont="1" applyFill="1" applyBorder="1" applyAlignment="1" applyProtection="1">
      <alignment horizontal="center" vertical="center"/>
    </xf>
    <xf numFmtId="185" fontId="62" fillId="3" borderId="61" xfId="0" applyNumberFormat="1" applyFont="1" applyFill="1" applyBorder="1" applyAlignment="1" applyProtection="1">
      <alignment horizontal="right" vertical="center"/>
    </xf>
    <xf numFmtId="187" fontId="62" fillId="3" borderId="34" xfId="0" applyNumberFormat="1" applyFont="1" applyFill="1" applyBorder="1" applyAlignment="1" applyProtection="1">
      <alignment vertical="center"/>
    </xf>
    <xf numFmtId="165" fontId="62" fillId="3" borderId="3" xfId="1" applyNumberFormat="1" applyFont="1" applyFill="1" applyBorder="1" applyAlignment="1" applyProtection="1">
      <alignment horizontal="center" vertical="center"/>
    </xf>
    <xf numFmtId="0" fontId="62" fillId="3" borderId="61" xfId="0" applyFont="1" applyFill="1" applyBorder="1" applyAlignment="1" applyProtection="1">
      <alignment vertical="center"/>
    </xf>
    <xf numFmtId="4" fontId="62" fillId="3" borderId="3" xfId="0" applyNumberFormat="1" applyFont="1" applyFill="1" applyBorder="1" applyAlignment="1" applyProtection="1">
      <alignment horizontal="right" vertical="center"/>
    </xf>
    <xf numFmtId="0" fontId="63" fillId="2" borderId="4" xfId="0" applyFont="1" applyFill="1" applyBorder="1" applyAlignment="1" applyProtection="1">
      <alignment vertical="center"/>
    </xf>
    <xf numFmtId="0" fontId="63" fillId="2" borderId="4" xfId="0" applyFont="1" applyFill="1" applyBorder="1" applyAlignment="1" applyProtection="1">
      <alignment vertical="center" wrapText="1"/>
    </xf>
    <xf numFmtId="0" fontId="63" fillId="2" borderId="157" xfId="0" applyFont="1" applyFill="1" applyBorder="1" applyAlignment="1" applyProtection="1">
      <alignment vertical="center" wrapText="1"/>
    </xf>
    <xf numFmtId="1" fontId="62" fillId="5" borderId="66" xfId="0" applyNumberFormat="1" applyFont="1" applyFill="1" applyBorder="1" applyAlignment="1" applyProtection="1">
      <alignment horizontal="center" vertical="center"/>
      <protection locked="0"/>
    </xf>
    <xf numFmtId="4" fontId="62" fillId="5" borderId="32" xfId="0" applyNumberFormat="1" applyFont="1" applyFill="1" applyBorder="1" applyAlignment="1" applyProtection="1">
      <alignment horizontal="center" vertical="center"/>
      <protection locked="0"/>
    </xf>
    <xf numFmtId="187" fontId="62" fillId="3" borderId="34" xfId="0" applyNumberFormat="1" applyFont="1" applyFill="1" applyBorder="1" applyAlignment="1" applyProtection="1">
      <alignment horizontal="right" vertical="center"/>
    </xf>
    <xf numFmtId="185" fontId="62" fillId="3" borderId="0" xfId="0" applyNumberFormat="1" applyFont="1" applyFill="1" applyBorder="1" applyAlignment="1" applyProtection="1">
      <alignment vertical="center"/>
    </xf>
    <xf numFmtId="188" fontId="62" fillId="3" borderId="4" xfId="0" applyNumberFormat="1" applyFont="1" applyFill="1" applyBorder="1" applyAlignment="1" applyProtection="1">
      <alignment vertical="center"/>
    </xf>
    <xf numFmtId="185" fontId="62" fillId="3" borderId="2" xfId="0" applyNumberFormat="1" applyFont="1" applyFill="1" applyBorder="1" applyAlignment="1" applyProtection="1">
      <alignment vertical="center"/>
    </xf>
    <xf numFmtId="0" fontId="62" fillId="3" borderId="11" xfId="0" applyFont="1" applyFill="1" applyBorder="1" applyAlignment="1" applyProtection="1">
      <alignment horizontal="left" vertical="center"/>
    </xf>
    <xf numFmtId="165" fontId="63" fillId="3" borderId="5" xfId="1" applyNumberFormat="1" applyFont="1" applyFill="1" applyBorder="1" applyAlignment="1" applyProtection="1">
      <alignment vertical="center"/>
    </xf>
    <xf numFmtId="4" fontId="62" fillId="3" borderId="5" xfId="0" applyNumberFormat="1" applyFont="1" applyFill="1" applyBorder="1" applyAlignment="1" applyProtection="1">
      <alignment horizontal="center" vertical="center"/>
    </xf>
    <xf numFmtId="166" fontId="62" fillId="3" borderId="2" xfId="0" applyNumberFormat="1" applyFont="1" applyFill="1" applyBorder="1" applyAlignment="1" applyProtection="1">
      <alignment horizontal="center" vertical="center"/>
    </xf>
    <xf numFmtId="0" fontId="2" fillId="3" borderId="1" xfId="0" applyFont="1" applyFill="1" applyBorder="1" applyAlignment="1" applyProtection="1">
      <alignment vertical="center"/>
    </xf>
    <xf numFmtId="0" fontId="2" fillId="3" borderId="12" xfId="0" applyFont="1" applyFill="1" applyBorder="1" applyAlignment="1" applyProtection="1">
      <alignment vertical="center"/>
    </xf>
    <xf numFmtId="186" fontId="62" fillId="3" borderId="11" xfId="0" applyNumberFormat="1" applyFont="1" applyFill="1" applyBorder="1" applyAlignment="1" applyProtection="1">
      <alignment horizontal="center" vertical="center"/>
    </xf>
    <xf numFmtId="189" fontId="62" fillId="3" borderId="155" xfId="0" applyNumberFormat="1" applyFont="1" applyFill="1" applyBorder="1" applyAlignment="1" applyProtection="1">
      <alignment horizontal="center" vertical="center"/>
    </xf>
    <xf numFmtId="0" fontId="0" fillId="0" borderId="0" xfId="0" applyFont="1" applyBorder="1" applyProtection="1"/>
    <xf numFmtId="0" fontId="0" fillId="0" borderId="0" xfId="0" applyFont="1" applyBorder="1" applyAlignment="1" applyProtection="1">
      <alignment horizontal="center"/>
    </xf>
    <xf numFmtId="0" fontId="12" fillId="3" borderId="0" xfId="4" applyNumberFormat="1" applyFont="1" applyFill="1" applyBorder="1" applyAlignment="1" applyProtection="1">
      <alignment horizontal="center" vertical="top"/>
    </xf>
    <xf numFmtId="168" fontId="13" fillId="5" borderId="24" xfId="1" applyFont="1" applyFill="1" applyBorder="1" applyAlignment="1" applyProtection="1">
      <alignment horizontal="center" vertical="center"/>
      <protection locked="0"/>
    </xf>
    <xf numFmtId="0" fontId="8" fillId="5" borderId="13" xfId="0" applyFont="1" applyFill="1" applyBorder="1" applyAlignment="1" applyProtection="1">
      <alignment horizontal="center" vertical="center"/>
      <protection locked="0"/>
    </xf>
    <xf numFmtId="0" fontId="15" fillId="5" borderId="24" xfId="0" applyFont="1" applyFill="1" applyBorder="1" applyAlignment="1" applyProtection="1">
      <alignment horizontal="justify" vertical="center"/>
      <protection locked="0"/>
    </xf>
    <xf numFmtId="0" fontId="7" fillId="5" borderId="5" xfId="0" applyFont="1" applyFill="1" applyBorder="1" applyAlignment="1" applyProtection="1">
      <alignment horizontal="center" vertical="center" wrapText="1"/>
    </xf>
    <xf numFmtId="166" fontId="11" fillId="5" borderId="5" xfId="0" applyNumberFormat="1" applyFont="1" applyFill="1" applyBorder="1" applyAlignment="1" applyProtection="1">
      <alignment horizontal="center" vertical="center"/>
    </xf>
    <xf numFmtId="0" fontId="13" fillId="4" borderId="13" xfId="4" applyNumberFormat="1" applyFont="1" applyFill="1" applyBorder="1" applyAlignment="1" applyProtection="1">
      <alignment horizontal="center" vertical="center"/>
    </xf>
    <xf numFmtId="0" fontId="13" fillId="4" borderId="13" xfId="4" applyNumberFormat="1"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16"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xf>
    <xf numFmtId="0" fontId="3" fillId="3" borderId="3" xfId="4" applyNumberFormat="1"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xf>
    <xf numFmtId="0" fontId="5" fillId="4" borderId="5" xfId="0" applyFont="1" applyFill="1" applyBorder="1" applyAlignment="1" applyProtection="1">
      <alignment horizontal="center" vertical="center"/>
    </xf>
    <xf numFmtId="176" fontId="12" fillId="3" borderId="0" xfId="4" applyNumberFormat="1" applyFont="1" applyFill="1" applyBorder="1" applyAlignment="1" applyProtection="1">
      <alignment horizontal="left" vertical="center"/>
    </xf>
    <xf numFmtId="0" fontId="19" fillId="0" borderId="62" xfId="4" applyNumberFormat="1" applyFont="1" applyBorder="1" applyAlignment="1" applyProtection="1">
      <alignment horizontal="center" vertical="center"/>
    </xf>
    <xf numFmtId="0" fontId="19" fillId="0" borderId="5" xfId="4" applyNumberFormat="1" applyFont="1" applyBorder="1" applyAlignment="1" applyProtection="1">
      <alignment horizontal="center" vertical="center"/>
    </xf>
    <xf numFmtId="0" fontId="0" fillId="3" borderId="82" xfId="4" applyNumberFormat="1" applyFont="1" applyFill="1" applyBorder="1" applyAlignment="1" applyProtection="1">
      <alignment horizontal="justify" vertical="center" wrapText="1"/>
    </xf>
    <xf numFmtId="0" fontId="0" fillId="3" borderId="83" xfId="4" applyNumberFormat="1" applyFont="1" applyFill="1" applyBorder="1" applyAlignment="1" applyProtection="1">
      <alignment horizontal="justify" vertical="center" wrapText="1"/>
    </xf>
    <xf numFmtId="0" fontId="12" fillId="3" borderId="38" xfId="4" applyNumberFormat="1" applyFont="1" applyFill="1" applyBorder="1" applyAlignment="1" applyProtection="1">
      <alignment horizontal="justify" vertical="center" wrapText="1"/>
    </xf>
    <xf numFmtId="0" fontId="12" fillId="0" borderId="53" xfId="4" applyNumberFormat="1" applyFont="1" applyBorder="1" applyAlignment="1" applyProtection="1">
      <alignment horizontal="justify" vertical="center"/>
    </xf>
    <xf numFmtId="0" fontId="12" fillId="0" borderId="54" xfId="4" applyNumberFormat="1" applyFont="1" applyBorder="1" applyAlignment="1" applyProtection="1">
      <alignment horizontal="center" vertical="center"/>
    </xf>
    <xf numFmtId="2" fontId="12" fillId="0" borderId="53" xfId="4" applyNumberFormat="1" applyFont="1" applyBorder="1" applyAlignment="1" applyProtection="1">
      <alignment horizontal="center" vertical="center"/>
    </xf>
    <xf numFmtId="0" fontId="19" fillId="0" borderId="17" xfId="4" applyNumberFormat="1" applyFont="1" applyBorder="1" applyAlignment="1" applyProtection="1">
      <alignment horizontal="center" vertical="center"/>
    </xf>
    <xf numFmtId="0" fontId="19" fillId="0" borderId="58" xfId="4" applyNumberFormat="1" applyFont="1" applyBorder="1" applyAlignment="1" applyProtection="1">
      <alignment horizontal="center" vertical="center" wrapText="1"/>
    </xf>
    <xf numFmtId="0" fontId="19" fillId="0" borderId="59" xfId="4" applyNumberFormat="1" applyFont="1" applyBorder="1" applyAlignment="1" applyProtection="1">
      <alignment horizontal="center" vertical="center" wrapText="1"/>
    </xf>
    <xf numFmtId="0" fontId="19" fillId="0" borderId="60" xfId="4" applyNumberFormat="1" applyFont="1" applyBorder="1" applyAlignment="1" applyProtection="1">
      <alignment horizontal="center" vertical="center"/>
    </xf>
    <xf numFmtId="0" fontId="19" fillId="0" borderId="61" xfId="4" applyNumberFormat="1" applyFont="1" applyBorder="1" applyAlignment="1" applyProtection="1">
      <alignment horizontal="center" vertical="center" wrapText="1"/>
      <protection locked="0"/>
    </xf>
    <xf numFmtId="0" fontId="19" fillId="0" borderId="5" xfId="4" applyNumberFormat="1" applyFont="1" applyBorder="1" applyAlignment="1" applyProtection="1">
      <alignment horizontal="center" vertical="center"/>
      <protection locked="0"/>
    </xf>
    <xf numFmtId="0" fontId="19" fillId="0" borderId="62" xfId="4" applyNumberFormat="1" applyFont="1" applyBorder="1" applyAlignment="1" applyProtection="1">
      <alignment horizontal="center" vertical="center" wrapText="1"/>
    </xf>
    <xf numFmtId="0" fontId="19" fillId="0" borderId="63" xfId="4" applyNumberFormat="1" applyFont="1" applyBorder="1" applyAlignment="1" applyProtection="1">
      <alignment horizontal="center" vertical="center" wrapText="1"/>
    </xf>
    <xf numFmtId="0" fontId="5" fillId="0" borderId="13" xfId="4" applyNumberFormat="1" applyFont="1" applyBorder="1" applyAlignment="1" applyProtection="1">
      <alignment horizontal="center" vertical="center"/>
    </xf>
    <xf numFmtId="0" fontId="12" fillId="0" borderId="19" xfId="4" applyNumberFormat="1" applyFont="1" applyBorder="1" applyAlignment="1" applyProtection="1">
      <alignment horizontal="center" vertical="center" wrapText="1"/>
    </xf>
    <xf numFmtId="0" fontId="12" fillId="0" borderId="51" xfId="4" applyNumberFormat="1" applyFont="1" applyBorder="1" applyAlignment="1" applyProtection="1">
      <alignment vertical="center" wrapText="1"/>
    </xf>
    <xf numFmtId="0" fontId="12" fillId="0" borderId="52" xfId="4" applyNumberFormat="1" applyFont="1" applyBorder="1" applyAlignment="1" applyProtection="1">
      <alignment horizontal="center" vertical="center"/>
    </xf>
    <xf numFmtId="0" fontId="12" fillId="0" borderId="51" xfId="4" applyNumberFormat="1" applyFont="1" applyBorder="1" applyAlignment="1" applyProtection="1">
      <alignment horizontal="left" vertical="center"/>
    </xf>
    <xf numFmtId="0" fontId="5" fillId="3" borderId="0" xfId="0" applyFont="1" applyFill="1" applyBorder="1" applyAlignment="1" applyProtection="1">
      <alignment horizontal="center" vertical="center"/>
    </xf>
    <xf numFmtId="1" fontId="0" fillId="3" borderId="0" xfId="0" applyNumberFormat="1" applyFill="1" applyBorder="1" applyAlignment="1">
      <alignment horizontal="center"/>
    </xf>
    <xf numFmtId="0" fontId="12" fillId="3" borderId="0" xfId="4" applyNumberFormat="1" applyFont="1" applyFill="1" applyBorder="1" applyAlignment="1" applyProtection="1">
      <alignment horizontal="center"/>
      <protection locked="0"/>
    </xf>
    <xf numFmtId="0" fontId="17" fillId="3" borderId="0" xfId="4" applyNumberFormat="1" applyFont="1" applyFill="1" applyBorder="1" applyAlignment="1" applyProtection="1">
      <alignment horizontal="center"/>
      <protection locked="0"/>
    </xf>
    <xf numFmtId="0" fontId="42" fillId="3" borderId="137" xfId="0" applyFont="1" applyFill="1" applyBorder="1" applyAlignment="1" applyProtection="1">
      <alignment horizontal="justify" vertical="center"/>
    </xf>
    <xf numFmtId="0" fontId="0" fillId="3" borderId="119" xfId="0" applyFont="1" applyFill="1" applyBorder="1" applyAlignment="1" applyProtection="1">
      <alignment horizontal="justify" vertical="center" wrapText="1"/>
    </xf>
    <xf numFmtId="0" fontId="5" fillId="3" borderId="105" xfId="0" applyFont="1" applyFill="1" applyBorder="1" applyAlignment="1" applyProtection="1">
      <alignment horizontal="right" vertical="center"/>
    </xf>
    <xf numFmtId="0" fontId="5" fillId="3" borderId="105" xfId="0" applyFont="1" applyFill="1" applyBorder="1" applyAlignment="1" applyProtection="1">
      <alignment horizontal="left" vertical="center"/>
    </xf>
    <xf numFmtId="0" fontId="0" fillId="0" borderId="116" xfId="0" applyFont="1" applyBorder="1" applyAlignment="1" applyProtection="1">
      <alignment horizontal="center" vertical="center"/>
    </xf>
    <xf numFmtId="4" fontId="0" fillId="0" borderId="32" xfId="4" applyNumberFormat="1" applyFont="1" applyBorder="1" applyAlignment="1" applyProtection="1">
      <alignment horizontal="right" vertical="center" wrapText="1"/>
    </xf>
    <xf numFmtId="4" fontId="0" fillId="0" borderId="116" xfId="1" applyNumberFormat="1" applyFont="1" applyBorder="1" applyAlignment="1" applyProtection="1">
      <alignment horizontal="right" vertical="center" wrapText="1"/>
    </xf>
    <xf numFmtId="168" fontId="0" fillId="3" borderId="116" xfId="1" applyFont="1" applyFill="1" applyBorder="1" applyAlignment="1" applyProtection="1">
      <alignment horizontal="center" vertical="center" wrapText="1"/>
    </xf>
    <xf numFmtId="4" fontId="0" fillId="3" borderId="116" xfId="1" applyNumberFormat="1" applyFont="1" applyFill="1" applyBorder="1" applyAlignment="1" applyProtection="1">
      <alignment horizontal="center" vertical="center" wrapText="1"/>
    </xf>
    <xf numFmtId="0" fontId="37" fillId="3" borderId="129" xfId="0" applyFont="1" applyFill="1" applyBorder="1" applyAlignment="1" applyProtection="1">
      <alignment horizontal="justify" vertical="center"/>
    </xf>
    <xf numFmtId="0" fontId="30" fillId="5" borderId="130" xfId="0" applyFont="1" applyFill="1" applyBorder="1" applyAlignment="1" applyProtection="1">
      <alignment horizontal="center" vertical="center"/>
      <protection locked="0"/>
    </xf>
    <xf numFmtId="0" fontId="0" fillId="3" borderId="118" xfId="0" applyFont="1" applyFill="1" applyBorder="1" applyAlignment="1" applyProtection="1">
      <alignment horizontal="center" vertical="center"/>
    </xf>
    <xf numFmtId="2" fontId="0" fillId="3" borderId="117" xfId="0" applyNumberFormat="1" applyFont="1" applyFill="1" applyBorder="1" applyAlignment="1" applyProtection="1">
      <alignment horizontal="left" vertical="center"/>
    </xf>
    <xf numFmtId="0" fontId="0" fillId="3" borderId="117" xfId="0" applyFont="1" applyFill="1" applyBorder="1" applyAlignment="1" applyProtection="1">
      <alignment horizontal="justify" vertical="center" wrapText="1"/>
    </xf>
    <xf numFmtId="0" fontId="0" fillId="3" borderId="116" xfId="0" applyFont="1" applyFill="1" applyBorder="1" applyAlignment="1" applyProtection="1">
      <alignment horizontal="center" vertical="center"/>
    </xf>
    <xf numFmtId="0" fontId="0" fillId="3" borderId="124" xfId="0" applyFont="1" applyFill="1" applyBorder="1" applyAlignment="1" applyProtection="1">
      <alignment horizontal="justify" vertical="center" wrapText="1"/>
    </xf>
    <xf numFmtId="0" fontId="0" fillId="3" borderId="126" xfId="0" applyFont="1" applyFill="1" applyBorder="1" applyAlignment="1" applyProtection="1">
      <alignment horizontal="justify" vertical="center" wrapText="1"/>
    </xf>
    <xf numFmtId="4" fontId="0" fillId="0" borderId="116" xfId="0" applyNumberFormat="1" applyFont="1" applyBorder="1" applyAlignment="1" applyProtection="1">
      <alignment horizontal="right" vertical="center"/>
    </xf>
    <xf numFmtId="168" fontId="0" fillId="3" borderId="116" xfId="1" applyFont="1" applyFill="1" applyBorder="1" applyAlignment="1" applyProtection="1">
      <alignment horizontal="right" vertical="center" wrapText="1"/>
    </xf>
    <xf numFmtId="4" fontId="0" fillId="3" borderId="116" xfId="1" applyNumberFormat="1" applyFont="1" applyFill="1" applyBorder="1" applyAlignment="1" applyProtection="1">
      <alignment horizontal="right" vertical="center" wrapText="1"/>
    </xf>
    <xf numFmtId="0" fontId="6" fillId="5" borderId="112" xfId="0" applyFont="1" applyFill="1" applyBorder="1" applyAlignment="1" applyProtection="1">
      <alignment horizontal="center" vertical="center"/>
      <protection locked="0"/>
    </xf>
    <xf numFmtId="2" fontId="0" fillId="3" borderId="124" xfId="0" applyNumberFormat="1" applyFont="1" applyFill="1" applyBorder="1" applyAlignment="1" applyProtection="1">
      <alignment horizontal="justify" vertical="center"/>
    </xf>
    <xf numFmtId="168" fontId="0" fillId="3" borderId="125" xfId="0" applyNumberFormat="1" applyFont="1" applyFill="1" applyBorder="1" applyAlignment="1" applyProtection="1">
      <alignment horizontal="center" vertical="center" wrapText="1"/>
    </xf>
    <xf numFmtId="49" fontId="5" fillId="3" borderId="93" xfId="0" applyNumberFormat="1" applyFont="1" applyFill="1" applyBorder="1" applyAlignment="1" applyProtection="1">
      <alignment horizontal="right" vertical="center" wrapText="1"/>
    </xf>
    <xf numFmtId="49" fontId="5" fillId="3" borderId="101" xfId="0" applyNumberFormat="1" applyFont="1" applyFill="1" applyBorder="1" applyAlignment="1" applyProtection="1">
      <alignment horizontal="right" vertical="center"/>
    </xf>
    <xf numFmtId="0" fontId="6" fillId="3" borderId="104" xfId="0" applyFont="1" applyFill="1" applyBorder="1" applyAlignment="1" applyProtection="1">
      <alignment horizontal="center" vertical="center" wrapText="1"/>
    </xf>
    <xf numFmtId="0" fontId="5" fillId="3" borderId="92" xfId="0" applyFont="1" applyFill="1" applyBorder="1" applyAlignment="1" applyProtection="1">
      <alignment horizontal="center" vertical="center"/>
    </xf>
    <xf numFmtId="0" fontId="5" fillId="3" borderId="95" xfId="0" applyFont="1" applyFill="1" applyBorder="1" applyAlignment="1" applyProtection="1">
      <alignment horizontal="center" vertical="center"/>
    </xf>
    <xf numFmtId="0" fontId="5" fillId="3" borderId="96" xfId="0" applyFont="1" applyFill="1" applyBorder="1" applyAlignment="1" applyProtection="1">
      <alignment horizontal="center" vertical="center"/>
    </xf>
    <xf numFmtId="0" fontId="5" fillId="0" borderId="98" xfId="0" applyFont="1" applyBorder="1" applyAlignment="1" applyProtection="1">
      <alignment horizontal="center" vertical="center"/>
    </xf>
    <xf numFmtId="0" fontId="12" fillId="3" borderId="140" xfId="4" applyNumberFormat="1" applyFont="1" applyFill="1" applyBorder="1" applyAlignment="1" applyProtection="1">
      <alignment horizontal="center" vertical="center"/>
    </xf>
    <xf numFmtId="10" fontId="12" fillId="3" borderId="140" xfId="4" applyNumberFormat="1" applyFont="1" applyFill="1" applyBorder="1" applyAlignment="1" applyProtection="1">
      <alignment horizontal="center" vertical="center"/>
    </xf>
    <xf numFmtId="0" fontId="12" fillId="3" borderId="7" xfId="4" applyNumberFormat="1" applyFont="1" applyFill="1" applyBorder="1" applyAlignment="1" applyProtection="1">
      <alignment horizontal="center"/>
    </xf>
    <xf numFmtId="0" fontId="12" fillId="3" borderId="140" xfId="4" applyNumberFormat="1" applyFont="1" applyFill="1" applyBorder="1" applyAlignment="1" applyProtection="1">
      <alignment horizontal="center" vertical="center" wrapText="1"/>
    </xf>
    <xf numFmtId="0" fontId="12" fillId="3" borderId="140" xfId="4" applyNumberFormat="1" applyFont="1" applyFill="1" applyBorder="1" applyAlignment="1" applyProtection="1">
      <alignment horizontal="justify" vertical="center" wrapText="1"/>
    </xf>
    <xf numFmtId="181" fontId="0" fillId="3" borderId="140" xfId="4" applyNumberFormat="1" applyFont="1" applyFill="1" applyBorder="1" applyAlignment="1" applyProtection="1">
      <alignment horizontal="left" vertical="center"/>
    </xf>
    <xf numFmtId="10" fontId="0" fillId="3" borderId="140" xfId="4" applyNumberFormat="1" applyFont="1" applyFill="1" applyBorder="1" applyAlignment="1" applyProtection="1">
      <alignment horizontal="right" vertical="center"/>
    </xf>
    <xf numFmtId="165" fontId="22" fillId="3" borderId="140" xfId="4" applyNumberFormat="1" applyFont="1" applyFill="1" applyBorder="1" applyAlignment="1" applyProtection="1">
      <alignment horizontal="center" vertical="center"/>
    </xf>
    <xf numFmtId="0" fontId="22" fillId="3" borderId="138" xfId="4" applyNumberFormat="1" applyFont="1" applyFill="1" applyBorder="1" applyAlignment="1" applyProtection="1">
      <alignment horizontal="center" vertical="center" wrapText="1"/>
      <protection locked="0"/>
    </xf>
    <xf numFmtId="0" fontId="4" fillId="3" borderId="139" xfId="4" applyNumberFormat="1" applyFont="1" applyFill="1" applyBorder="1" applyAlignment="1" applyProtection="1">
      <alignment horizontal="center" vertical="center"/>
    </xf>
    <xf numFmtId="0" fontId="5" fillId="3" borderId="139" xfId="4" applyNumberFormat="1" applyFont="1" applyFill="1" applyBorder="1" applyAlignment="1" applyProtection="1">
      <alignment horizontal="center" vertical="center"/>
    </xf>
    <xf numFmtId="0" fontId="29" fillId="3" borderId="140" xfId="4" applyNumberFormat="1" applyFont="1" applyFill="1" applyBorder="1" applyAlignment="1" applyProtection="1">
      <alignment horizontal="center" vertical="center" wrapText="1"/>
    </xf>
    <xf numFmtId="0" fontId="12" fillId="3" borderId="140" xfId="4" applyNumberFormat="1" applyFont="1" applyFill="1" applyBorder="1" applyAlignment="1" applyProtection="1">
      <alignment horizontal="left" vertical="center"/>
    </xf>
    <xf numFmtId="0" fontId="12" fillId="3" borderId="125" xfId="4" applyNumberFormat="1" applyFont="1" applyFill="1" applyBorder="1" applyAlignment="1" applyProtection="1">
      <alignment horizontal="left" vertical="center"/>
    </xf>
    <xf numFmtId="180" fontId="12" fillId="3" borderId="117" xfId="4" applyNumberFormat="1" applyFont="1" applyFill="1" applyBorder="1" applyAlignment="1" applyProtection="1">
      <alignment horizontal="left" vertical="center"/>
    </xf>
    <xf numFmtId="180" fontId="12" fillId="3" borderId="124" xfId="4" applyNumberFormat="1" applyFont="1" applyFill="1" applyBorder="1" applyAlignment="1" applyProtection="1">
      <alignment horizontal="center" vertical="center"/>
    </xf>
    <xf numFmtId="0" fontId="55" fillId="5" borderId="24" xfId="0" applyFont="1" applyFill="1" applyBorder="1" applyAlignment="1">
      <alignment horizontal="justify" vertical="center" wrapText="1"/>
    </xf>
    <xf numFmtId="0" fontId="55" fillId="0" borderId="24" xfId="0" applyFont="1" applyBorder="1" applyAlignment="1">
      <alignment horizontal="justify" vertical="center" wrapText="1"/>
    </xf>
    <xf numFmtId="0" fontId="55" fillId="0" borderId="63" xfId="0" applyFont="1" applyBorder="1" applyAlignment="1">
      <alignment horizontal="justify" vertical="center" wrapText="1"/>
    </xf>
    <xf numFmtId="0" fontId="0" fillId="3" borderId="0" xfId="0" applyFont="1" applyFill="1" applyBorder="1" applyAlignment="1" applyProtection="1">
      <alignment horizontal="justify" vertical="center" wrapText="1"/>
    </xf>
    <xf numFmtId="0" fontId="22" fillId="3" borderId="0" xfId="0" applyFont="1" applyFill="1" applyBorder="1" applyAlignment="1" applyProtection="1">
      <alignment horizontal="justify" vertical="center" wrapText="1"/>
    </xf>
    <xf numFmtId="0" fontId="55" fillId="4" borderId="13" xfId="0" applyFont="1" applyFill="1" applyBorder="1" applyAlignment="1">
      <alignment horizontal="center" vertical="center" wrapText="1"/>
    </xf>
    <xf numFmtId="0" fontId="55" fillId="5" borderId="60" xfId="0" applyFont="1" applyFill="1" applyBorder="1" applyAlignment="1">
      <alignment horizontal="justify" vertical="center" wrapText="1"/>
    </xf>
    <xf numFmtId="0" fontId="0" fillId="3" borderId="0" xfId="0" applyFont="1" applyFill="1" applyBorder="1" applyAlignment="1" applyProtection="1">
      <alignment horizontal="center" vertical="center"/>
    </xf>
    <xf numFmtId="0" fontId="29" fillId="3" borderId="60" xfId="0" applyFont="1" applyFill="1" applyBorder="1" applyAlignment="1" applyProtection="1">
      <alignment horizontal="center" vertical="center" wrapText="1"/>
    </xf>
    <xf numFmtId="10" fontId="12" fillId="3" borderId="63" xfId="4" applyNumberFormat="1" applyFont="1" applyFill="1" applyBorder="1" applyAlignment="1" applyProtection="1">
      <alignment horizontal="center" vertical="center" wrapText="1"/>
    </xf>
    <xf numFmtId="0" fontId="22" fillId="0" borderId="55" xfId="0" applyFont="1" applyBorder="1" applyAlignment="1" applyProtection="1">
      <alignment horizontal="justify" vertical="center"/>
    </xf>
    <xf numFmtId="10" fontId="5" fillId="3" borderId="27" xfId="4" applyNumberFormat="1" applyFont="1" applyFill="1" applyBorder="1" applyAlignment="1" applyProtection="1">
      <alignment horizontal="center" vertical="center"/>
    </xf>
    <xf numFmtId="10" fontId="0" fillId="3" borderId="151" xfId="0" applyNumberFormat="1" applyFont="1" applyFill="1" applyBorder="1" applyAlignment="1" applyProtection="1">
      <alignment horizontal="center" vertical="center" wrapText="1"/>
    </xf>
    <xf numFmtId="10" fontId="0" fillId="0" borderId="36" xfId="4" applyNumberFormat="1" applyFont="1" applyBorder="1" applyAlignment="1" applyProtection="1">
      <alignment horizontal="center" vertical="center" wrapText="1"/>
    </xf>
    <xf numFmtId="0" fontId="37" fillId="3" borderId="141" xfId="0" applyFont="1" applyFill="1" applyBorder="1" applyAlignment="1" applyProtection="1">
      <alignment horizontal="justify" vertical="center" wrapText="1"/>
    </xf>
    <xf numFmtId="0" fontId="0" fillId="3" borderId="138" xfId="0" applyFont="1" applyFill="1" applyBorder="1" applyAlignment="1" applyProtection="1">
      <alignment horizontal="justify" vertical="center" wrapText="1"/>
    </xf>
    <xf numFmtId="0" fontId="12" fillId="3" borderId="0" xfId="0" applyFont="1" applyFill="1" applyBorder="1" applyAlignment="1" applyProtection="1">
      <alignment horizontal="center" vertical="center"/>
    </xf>
    <xf numFmtId="0" fontId="0" fillId="3" borderId="159" xfId="0" applyFont="1" applyFill="1" applyBorder="1" applyAlignment="1" applyProtection="1">
      <alignment horizontal="center" vertical="center" wrapText="1"/>
    </xf>
    <xf numFmtId="0" fontId="29" fillId="3" borderId="19" xfId="0" applyFont="1" applyFill="1" applyBorder="1" applyAlignment="1" applyProtection="1">
      <alignment horizontal="right" vertical="center" wrapText="1"/>
    </xf>
    <xf numFmtId="0" fontId="29" fillId="3" borderId="21" xfId="0" applyFont="1" applyFill="1" applyBorder="1" applyAlignment="1" applyProtection="1">
      <alignment horizontal="left" vertical="center" wrapText="1"/>
    </xf>
    <xf numFmtId="0" fontId="50" fillId="3" borderId="160" xfId="0" applyFont="1" applyFill="1" applyBorder="1" applyAlignment="1" applyProtection="1">
      <alignment horizontal="center" vertical="center" wrapText="1"/>
    </xf>
    <xf numFmtId="0" fontId="37" fillId="3" borderId="33" xfId="0" applyFont="1" applyFill="1" applyBorder="1" applyAlignment="1" applyProtection="1">
      <alignment horizontal="center" vertical="center"/>
    </xf>
    <xf numFmtId="0" fontId="29" fillId="3" borderId="37" xfId="0" applyFont="1" applyFill="1" applyBorder="1" applyAlignment="1" applyProtection="1">
      <alignment horizontal="right" vertical="center" wrapText="1"/>
    </xf>
    <xf numFmtId="0" fontId="29" fillId="3" borderId="51" xfId="0" applyFont="1" applyFill="1" applyBorder="1" applyAlignment="1" applyProtection="1">
      <alignment horizontal="left" vertical="center" wrapText="1"/>
    </xf>
    <xf numFmtId="0" fontId="0" fillId="3" borderId="146" xfId="0" applyFont="1" applyFill="1" applyBorder="1" applyAlignment="1" applyProtection="1">
      <alignment horizontal="center" vertical="center"/>
    </xf>
    <xf numFmtId="0" fontId="12" fillId="3" borderId="17" xfId="0" applyFont="1" applyFill="1" applyBorder="1" applyAlignment="1" applyProtection="1">
      <alignment horizontal="center" vertical="center" wrapText="1"/>
    </xf>
    <xf numFmtId="0" fontId="12" fillId="3" borderId="54" xfId="0" applyFont="1" applyFill="1" applyBorder="1" applyAlignment="1" applyProtection="1">
      <alignment horizontal="center" vertical="center" wrapText="1"/>
    </xf>
    <xf numFmtId="0" fontId="46" fillId="3" borderId="38" xfId="0" applyFont="1" applyFill="1" applyBorder="1" applyAlignment="1" applyProtection="1">
      <alignment horizontal="right" vertical="center"/>
    </xf>
    <xf numFmtId="0" fontId="46" fillId="3" borderId="23" xfId="0" applyFont="1" applyFill="1" applyBorder="1" applyAlignment="1" applyProtection="1">
      <alignment horizontal="right" vertical="center"/>
    </xf>
    <xf numFmtId="0" fontId="37" fillId="3" borderId="0" xfId="0" applyFont="1" applyFill="1" applyBorder="1" applyAlignment="1" applyProtection="1">
      <alignment horizontal="justify" vertical="center"/>
    </xf>
    <xf numFmtId="0" fontId="0" fillId="3" borderId="171" xfId="0" applyFont="1" applyFill="1" applyBorder="1" applyAlignment="1" applyProtection="1">
      <alignment horizontal="center" vertical="center" wrapText="1"/>
    </xf>
    <xf numFmtId="0" fontId="5" fillId="3" borderId="0" xfId="0" applyFont="1" applyFill="1" applyBorder="1" applyAlignment="1" applyProtection="1">
      <alignment horizontal="left" vertical="center"/>
    </xf>
    <xf numFmtId="0" fontId="5" fillId="3" borderId="45" xfId="0" applyFont="1" applyFill="1" applyBorder="1" applyAlignment="1" applyProtection="1">
      <alignment horizontal="center"/>
    </xf>
    <xf numFmtId="0" fontId="29" fillId="3" borderId="27" xfId="0" applyFont="1" applyFill="1" applyBorder="1" applyAlignment="1" applyProtection="1">
      <alignment horizontal="center" vertical="center" wrapText="1"/>
    </xf>
    <xf numFmtId="0" fontId="0" fillId="3" borderId="17" xfId="0" applyFont="1" applyFill="1" applyBorder="1" applyAlignment="1" applyProtection="1">
      <alignment horizontal="center" vertical="center"/>
    </xf>
    <xf numFmtId="0" fontId="12" fillId="3" borderId="54" xfId="0" applyFont="1" applyFill="1" applyBorder="1" applyAlignment="1" applyProtection="1">
      <alignment horizontal="center" vertical="center"/>
    </xf>
    <xf numFmtId="0" fontId="0" fillId="3" borderId="59" xfId="0" applyFont="1" applyFill="1" applyBorder="1" applyAlignment="1" applyProtection="1">
      <alignment horizontal="center" vertical="center" wrapText="1"/>
    </xf>
    <xf numFmtId="0" fontId="0" fillId="3" borderId="61" xfId="0" applyFont="1" applyFill="1" applyBorder="1" applyAlignment="1" applyProtection="1">
      <alignment horizontal="center" vertical="center" wrapText="1"/>
    </xf>
    <xf numFmtId="0" fontId="0" fillId="3" borderId="170" xfId="0" applyFont="1" applyFill="1" applyBorder="1" applyAlignment="1" applyProtection="1">
      <alignment horizontal="center" vertical="center" wrapText="1"/>
    </xf>
    <xf numFmtId="0" fontId="0" fillId="3" borderId="52" xfId="0" applyFont="1" applyFill="1" applyBorder="1" applyAlignment="1" applyProtection="1">
      <alignment horizontal="center" vertical="center" wrapText="1"/>
    </xf>
    <xf numFmtId="185" fontId="2" fillId="3" borderId="5" xfId="0" applyNumberFormat="1" applyFont="1" applyFill="1" applyBorder="1" applyAlignment="1" applyProtection="1">
      <alignment horizontal="right" vertical="center"/>
    </xf>
    <xf numFmtId="0" fontId="2" fillId="3" borderId="43" xfId="0" applyFont="1" applyFill="1" applyBorder="1" applyAlignment="1" applyProtection="1">
      <alignment horizontal="justify" vertical="center" wrapText="1"/>
    </xf>
    <xf numFmtId="0" fontId="61" fillId="3" borderId="157" xfId="0" applyFont="1" applyFill="1" applyBorder="1" applyAlignment="1" applyProtection="1">
      <alignment horizontal="center" vertical="center" wrapText="1"/>
    </xf>
    <xf numFmtId="186" fontId="2" fillId="3" borderId="5" xfId="0" applyNumberFormat="1" applyFont="1" applyFill="1" applyBorder="1" applyAlignment="1" applyProtection="1">
      <alignment horizontal="center" vertical="center" wrapText="1"/>
    </xf>
    <xf numFmtId="4" fontId="2" fillId="3" borderId="5" xfId="0" applyNumberFormat="1" applyFont="1" applyFill="1" applyBorder="1" applyAlignment="1" applyProtection="1">
      <alignment horizontal="center" vertical="center" wrapText="1"/>
    </xf>
    <xf numFmtId="0" fontId="58" fillId="3" borderId="45" xfId="0" applyFont="1" applyFill="1" applyBorder="1" applyAlignment="1" applyProtection="1">
      <alignment horizontal="center"/>
    </xf>
    <xf numFmtId="0" fontId="2" fillId="3" borderId="168" xfId="0" applyFont="1" applyFill="1" applyBorder="1" applyAlignment="1" applyProtection="1">
      <alignment horizontal="center" vertical="center"/>
    </xf>
    <xf numFmtId="0" fontId="2" fillId="3" borderId="58" xfId="0" applyFont="1" applyFill="1" applyBorder="1" applyAlignment="1" applyProtection="1">
      <alignment horizontal="center" vertical="center"/>
    </xf>
    <xf numFmtId="0" fontId="2" fillId="3" borderId="21" xfId="0" applyFont="1" applyFill="1" applyBorder="1" applyAlignment="1" applyProtection="1">
      <alignment horizontal="center" vertical="center"/>
    </xf>
    <xf numFmtId="0" fontId="2" fillId="3" borderId="58" xfId="0" applyFont="1" applyFill="1" applyBorder="1" applyAlignment="1" applyProtection="1">
      <alignment horizontal="center" vertical="center" wrapText="1"/>
    </xf>
    <xf numFmtId="0" fontId="2" fillId="3" borderId="59" xfId="0" applyFont="1" applyFill="1" applyBorder="1" applyAlignment="1" applyProtection="1">
      <alignment horizontal="center" vertical="center" wrapText="1"/>
    </xf>
    <xf numFmtId="0" fontId="2" fillId="3" borderId="16" xfId="0" applyFont="1" applyFill="1" applyBorder="1" applyAlignment="1" applyProtection="1">
      <alignment horizontal="center" vertical="center" wrapText="1"/>
    </xf>
    <xf numFmtId="0" fontId="2" fillId="3" borderId="169" xfId="0" applyFont="1" applyFill="1" applyBorder="1" applyAlignment="1" applyProtection="1">
      <alignment horizontal="center" vertical="center"/>
    </xf>
    <xf numFmtId="0" fontId="2" fillId="3" borderId="62" xfId="0" applyFont="1" applyFill="1" applyBorder="1" applyAlignment="1" applyProtection="1">
      <alignment horizontal="center" vertical="center"/>
    </xf>
    <xf numFmtId="0" fontId="2" fillId="3" borderId="10" xfId="0" applyFont="1" applyFill="1" applyBorder="1" applyAlignment="1" applyProtection="1">
      <alignment horizontal="justify" vertical="top" wrapText="1"/>
    </xf>
    <xf numFmtId="0" fontId="61" fillId="3" borderId="10" xfId="0" applyFont="1" applyFill="1" applyBorder="1" applyAlignment="1" applyProtection="1">
      <alignment horizontal="justify" vertical="top" wrapText="1"/>
    </xf>
    <xf numFmtId="0" fontId="62" fillId="3" borderId="5" xfId="0" applyFont="1" applyFill="1" applyBorder="1" applyAlignment="1" applyProtection="1">
      <alignment horizontal="center" vertical="center" wrapText="1"/>
    </xf>
    <xf numFmtId="0" fontId="62" fillId="3" borderId="163" xfId="0" applyFont="1" applyFill="1" applyBorder="1" applyAlignment="1" applyProtection="1">
      <alignment horizontal="justify" vertical="center"/>
    </xf>
    <xf numFmtId="4" fontId="63" fillId="3" borderId="5" xfId="0" applyNumberFormat="1" applyFont="1" applyFill="1" applyBorder="1" applyAlignment="1" applyProtection="1">
      <alignment horizontal="right" vertical="center"/>
    </xf>
    <xf numFmtId="0" fontId="63" fillId="3" borderId="43" xfId="0" applyFont="1" applyFill="1" applyBorder="1" applyAlignment="1" applyProtection="1">
      <alignment horizontal="right" vertical="center"/>
    </xf>
    <xf numFmtId="0" fontId="63" fillId="3" borderId="5" xfId="0" applyFont="1" applyFill="1" applyBorder="1" applyAlignment="1" applyProtection="1">
      <alignment horizontal="right" vertical="center"/>
    </xf>
    <xf numFmtId="2" fontId="62" fillId="3" borderId="10" xfId="0" applyNumberFormat="1" applyFont="1" applyFill="1" applyBorder="1" applyAlignment="1" applyProtection="1">
      <alignment horizontal="justify" vertical="center" wrapText="1"/>
    </xf>
    <xf numFmtId="2" fontId="62" fillId="5" borderId="10" xfId="0" applyNumberFormat="1" applyFont="1" applyFill="1" applyBorder="1" applyAlignment="1" applyProtection="1">
      <alignment horizontal="justify" vertical="center" wrapText="1"/>
      <protection locked="0"/>
    </xf>
    <xf numFmtId="0" fontId="62" fillId="3" borderId="43" xfId="0" applyFont="1" applyFill="1" applyBorder="1" applyAlignment="1" applyProtection="1">
      <alignment horizontal="left" vertical="center"/>
    </xf>
    <xf numFmtId="0" fontId="62" fillId="3" borderId="5" xfId="0" applyFont="1" applyFill="1" applyBorder="1" applyAlignment="1" applyProtection="1">
      <alignment horizontal="center" vertical="center"/>
    </xf>
    <xf numFmtId="185" fontId="62" fillId="3" borderId="5" xfId="1" applyNumberFormat="1" applyFont="1" applyFill="1" applyBorder="1" applyAlignment="1" applyProtection="1">
      <alignment horizontal="right" vertical="center"/>
    </xf>
    <xf numFmtId="0" fontId="62" fillId="3" borderId="5" xfId="0" applyFont="1" applyFill="1" applyBorder="1" applyAlignment="1" applyProtection="1">
      <alignment horizontal="left" vertical="center"/>
    </xf>
    <xf numFmtId="0" fontId="62" fillId="3" borderId="140" xfId="0" applyFont="1" applyFill="1" applyBorder="1" applyAlignment="1" applyProtection="1">
      <alignment horizontal="center" vertical="center"/>
    </xf>
    <xf numFmtId="0" fontId="62" fillId="3" borderId="177" xfId="0" applyFont="1" applyFill="1" applyBorder="1" applyAlignment="1" applyProtection="1">
      <alignment horizontal="right" vertical="center"/>
    </xf>
    <xf numFmtId="0" fontId="62" fillId="3" borderId="0" xfId="0" applyFont="1" applyFill="1" applyBorder="1" applyAlignment="1" applyProtection="1">
      <alignment horizontal="left" vertical="center"/>
    </xf>
    <xf numFmtId="0" fontId="63" fillId="2" borderId="157" xfId="0" applyFont="1" applyFill="1" applyBorder="1" applyAlignment="1" applyProtection="1">
      <alignment horizontal="left" vertical="center"/>
    </xf>
    <xf numFmtId="0" fontId="63" fillId="3" borderId="140" xfId="0" applyFont="1" applyFill="1" applyBorder="1" applyAlignment="1" applyProtection="1">
      <alignment horizontal="center" vertical="center"/>
    </xf>
    <xf numFmtId="0" fontId="63" fillId="3" borderId="177" xfId="0" applyFont="1" applyFill="1" applyBorder="1" applyAlignment="1" applyProtection="1">
      <alignment horizontal="center" vertical="center"/>
    </xf>
    <xf numFmtId="0" fontId="62" fillId="3" borderId="3" xfId="0" applyFont="1" applyFill="1" applyBorder="1" applyAlignment="1" applyProtection="1">
      <alignment horizontal="left"/>
    </xf>
    <xf numFmtId="49" fontId="61" fillId="2" borderId="61" xfId="0" applyNumberFormat="1" applyFont="1" applyFill="1" applyBorder="1" applyAlignment="1" applyProtection="1">
      <alignment horizontal="center" vertical="center" wrapText="1"/>
    </xf>
    <xf numFmtId="0" fontId="62" fillId="3" borderId="2" xfId="0" applyFont="1" applyFill="1" applyBorder="1" applyAlignment="1" applyProtection="1">
      <alignment horizontal="left"/>
    </xf>
    <xf numFmtId="0" fontId="62" fillId="3" borderId="9" xfId="0" applyFont="1" applyFill="1" applyBorder="1" applyAlignment="1" applyProtection="1">
      <alignment horizontal="center"/>
    </xf>
    <xf numFmtId="0" fontId="63" fillId="3" borderId="5" xfId="0" applyFont="1" applyFill="1" applyBorder="1" applyAlignment="1" applyProtection="1">
      <alignment horizontal="center" vertical="center"/>
    </xf>
    <xf numFmtId="0" fontId="62" fillId="3" borderId="0" xfId="0" applyFont="1" applyFill="1" applyBorder="1" applyAlignment="1" applyProtection="1">
      <alignment horizontal="center"/>
    </xf>
    <xf numFmtId="0" fontId="58" fillId="3" borderId="0" xfId="0" applyFont="1" applyFill="1" applyBorder="1" applyAlignment="1" applyProtection="1">
      <alignment horizontal="center"/>
    </xf>
    <xf numFmtId="0" fontId="62" fillId="3" borderId="1" xfId="0" applyFont="1" applyFill="1" applyBorder="1" applyAlignment="1" applyProtection="1">
      <alignment horizontal="center"/>
    </xf>
    <xf numFmtId="0" fontId="61" fillId="3" borderId="2" xfId="0" applyFont="1" applyFill="1" applyBorder="1" applyAlignment="1" applyProtection="1">
      <alignment horizontal="left"/>
    </xf>
    <xf numFmtId="0" fontId="62" fillId="3" borderId="8" xfId="0" applyFont="1" applyFill="1" applyBorder="1" applyAlignment="1" applyProtection="1">
      <alignment horizontal="justify" vertical="center"/>
    </xf>
    <xf numFmtId="0" fontId="62" fillId="3" borderId="10" xfId="0" applyFont="1" applyFill="1" applyBorder="1" applyAlignment="1" applyProtection="1">
      <alignment horizontal="justify" vertical="center"/>
    </xf>
    <xf numFmtId="0" fontId="63" fillId="3" borderId="33" xfId="0" applyFont="1" applyFill="1" applyBorder="1" applyAlignment="1" applyProtection="1">
      <alignment horizontal="right" vertical="center"/>
    </xf>
    <xf numFmtId="2" fontId="63" fillId="3" borderId="117" xfId="0" applyNumberFormat="1" applyFont="1" applyFill="1" applyBorder="1" applyAlignment="1" applyProtection="1">
      <alignment horizontal="left" vertical="center"/>
    </xf>
    <xf numFmtId="0" fontId="62" fillId="3" borderId="117" xfId="0" applyFont="1" applyFill="1" applyBorder="1" applyAlignment="1" applyProtection="1">
      <alignment horizontal="center" vertical="center"/>
    </xf>
    <xf numFmtId="0" fontId="62" fillId="3" borderId="121" xfId="0" applyFont="1" applyFill="1" applyBorder="1" applyAlignment="1" applyProtection="1">
      <alignment horizontal="justify" vertical="center" wrapText="1"/>
    </xf>
    <xf numFmtId="2" fontId="62" fillId="3" borderId="150" xfId="0" applyNumberFormat="1" applyFont="1" applyFill="1" applyBorder="1" applyAlignment="1" applyProtection="1">
      <alignment horizontal="justify" vertical="center" wrapText="1"/>
    </xf>
    <xf numFmtId="186" fontId="62" fillId="3" borderId="32" xfId="0" applyNumberFormat="1" applyFont="1" applyFill="1" applyBorder="1" applyAlignment="1" applyProtection="1">
      <alignment horizontal="center" vertical="center"/>
    </xf>
    <xf numFmtId="185" fontId="62" fillId="3" borderId="32" xfId="1" applyNumberFormat="1" applyFont="1" applyFill="1" applyBorder="1" applyAlignment="1" applyProtection="1">
      <alignment horizontal="right" vertical="center"/>
    </xf>
    <xf numFmtId="0" fontId="62" fillId="3" borderId="117" xfId="0" applyFont="1" applyFill="1" applyBorder="1" applyAlignment="1" applyProtection="1">
      <alignment horizontal="justify" vertical="center" wrapText="1"/>
    </xf>
    <xf numFmtId="0" fontId="63" fillId="3" borderId="147" xfId="0" applyFont="1" applyFill="1" applyBorder="1" applyAlignment="1" applyProtection="1">
      <alignment horizontal="right" vertical="center"/>
    </xf>
    <xf numFmtId="2" fontId="63" fillId="3" borderId="131" xfId="0" applyNumberFormat="1" applyFont="1" applyFill="1" applyBorder="1" applyAlignment="1" applyProtection="1">
      <alignment horizontal="left" vertical="center"/>
    </xf>
    <xf numFmtId="0" fontId="62" fillId="3" borderId="131" xfId="0" applyFont="1" applyFill="1" applyBorder="1" applyAlignment="1" applyProtection="1">
      <alignment horizontal="center" vertical="center"/>
    </xf>
    <xf numFmtId="0" fontId="62" fillId="3" borderId="131" xfId="0" applyFont="1" applyFill="1" applyBorder="1" applyAlignment="1" applyProtection="1">
      <alignment horizontal="justify" vertical="center" wrapText="1"/>
    </xf>
    <xf numFmtId="2" fontId="62" fillId="3" borderId="174" xfId="0" applyNumberFormat="1" applyFont="1" applyFill="1" applyBorder="1" applyAlignment="1" applyProtection="1">
      <alignment horizontal="justify" vertical="center" wrapText="1"/>
    </xf>
    <xf numFmtId="186" fontId="62" fillId="3" borderId="66" xfId="0" applyNumberFormat="1" applyFont="1" applyFill="1" applyBorder="1" applyAlignment="1" applyProtection="1">
      <alignment horizontal="center" vertical="center"/>
    </xf>
    <xf numFmtId="185" fontId="62" fillId="3" borderId="66" xfId="1" applyNumberFormat="1" applyFont="1" applyFill="1" applyBorder="1" applyAlignment="1" applyProtection="1">
      <alignment horizontal="right" vertical="center"/>
    </xf>
    <xf numFmtId="186" fontId="62" fillId="3" borderId="3" xfId="0" applyNumberFormat="1" applyFont="1" applyFill="1" applyBorder="1" applyAlignment="1" applyProtection="1">
      <alignment horizontal="center" vertical="center"/>
    </xf>
    <xf numFmtId="186" fontId="62" fillId="3" borderId="3" xfId="0" applyNumberFormat="1" applyFont="1" applyFill="1" applyBorder="1" applyAlignment="1" applyProtection="1">
      <alignment horizontal="right" vertical="center"/>
    </xf>
    <xf numFmtId="4" fontId="62" fillId="3" borderId="5" xfId="0" applyNumberFormat="1" applyFont="1" applyFill="1" applyBorder="1" applyAlignment="1" applyProtection="1">
      <alignment horizontal="right" vertical="center"/>
    </xf>
    <xf numFmtId="0" fontId="63" fillId="2" borderId="157" xfId="0" applyFont="1" applyFill="1" applyBorder="1" applyAlignment="1" applyProtection="1">
      <alignment horizontal="justify" vertical="center"/>
    </xf>
    <xf numFmtId="0" fontId="62" fillId="3" borderId="2" xfId="0" applyFont="1" applyFill="1" applyBorder="1" applyAlignment="1" applyProtection="1">
      <alignment horizontal="left" vertical="center"/>
    </xf>
    <xf numFmtId="0" fontId="62" fillId="3" borderId="4" xfId="0" applyFont="1" applyFill="1" applyBorder="1" applyAlignment="1" applyProtection="1">
      <alignment horizontal="center" vertical="center"/>
    </xf>
    <xf numFmtId="2" fontId="62" fillId="3" borderId="8" xfId="0" applyNumberFormat="1" applyFont="1" applyFill="1" applyBorder="1" applyAlignment="1" applyProtection="1">
      <alignment horizontal="justify" vertical="center" wrapText="1"/>
    </xf>
    <xf numFmtId="0" fontId="62" fillId="3" borderId="131" xfId="0" applyFont="1" applyFill="1" applyBorder="1" applyAlignment="1" applyProtection="1">
      <alignment horizontal="left" vertical="center" wrapText="1"/>
    </xf>
    <xf numFmtId="0" fontId="62" fillId="3" borderId="174" xfId="0" applyFont="1" applyFill="1" applyBorder="1" applyAlignment="1" applyProtection="1">
      <alignment horizontal="justify" vertical="center" wrapText="1"/>
    </xf>
    <xf numFmtId="0" fontId="63" fillId="3" borderId="9" xfId="0" applyFont="1" applyFill="1" applyBorder="1" applyAlignment="1" applyProtection="1">
      <alignment horizontal="center" vertical="center"/>
    </xf>
    <xf numFmtId="0" fontId="63" fillId="3" borderId="8" xfId="0" applyFont="1" applyFill="1" applyBorder="1" applyAlignment="1" applyProtection="1">
      <alignment horizontal="justify" vertical="top"/>
    </xf>
    <xf numFmtId="0" fontId="62" fillId="3" borderId="10" xfId="0" applyFont="1" applyFill="1" applyBorder="1" applyAlignment="1" applyProtection="1">
      <alignment horizontal="justify" vertical="top" wrapText="1"/>
    </xf>
    <xf numFmtId="0" fontId="62" fillId="3" borderId="5" xfId="4" applyFont="1" applyFill="1" applyBorder="1" applyAlignment="1" applyProtection="1">
      <alignment horizontal="left" vertical="center"/>
    </xf>
    <xf numFmtId="0" fontId="62" fillId="3" borderId="5" xfId="4" applyFont="1" applyFill="1" applyBorder="1" applyAlignment="1" applyProtection="1">
      <alignment horizontal="center" vertical="center" wrapText="1"/>
    </xf>
    <xf numFmtId="0" fontId="62" fillId="3" borderId="5" xfId="4" applyFont="1" applyFill="1" applyBorder="1" applyAlignment="1" applyProtection="1">
      <alignment horizontal="center" vertical="center"/>
    </xf>
    <xf numFmtId="4" fontId="63" fillId="3" borderId="5" xfId="4" applyNumberFormat="1" applyFont="1" applyFill="1" applyBorder="1" applyAlignment="1" applyProtection="1">
      <alignment horizontal="right" vertical="center"/>
    </xf>
    <xf numFmtId="0" fontId="62" fillId="3" borderId="0" xfId="0" applyFont="1" applyFill="1" applyBorder="1" applyAlignment="1" applyProtection="1">
      <alignment horizontal="justify" vertical="center" wrapText="1"/>
    </xf>
    <xf numFmtId="186" fontId="62" fillId="3" borderId="61" xfId="0" applyNumberFormat="1" applyFont="1" applyFill="1" applyBorder="1" applyAlignment="1" applyProtection="1">
      <alignment horizontal="center" vertical="center"/>
    </xf>
    <xf numFmtId="0" fontId="63" fillId="3" borderId="6" xfId="0" applyFont="1" applyFill="1" applyBorder="1" applyAlignment="1" applyProtection="1">
      <alignment horizontal="center" vertical="center"/>
    </xf>
    <xf numFmtId="0" fontId="62" fillId="3" borderId="8" xfId="0" applyFont="1" applyFill="1" applyBorder="1" applyAlignment="1" applyProtection="1">
      <alignment horizontal="left" vertical="center" wrapText="1"/>
    </xf>
    <xf numFmtId="0" fontId="63" fillId="2" borderId="157" xfId="0" applyFont="1" applyFill="1" applyBorder="1" applyAlignment="1" applyProtection="1">
      <alignment horizontal="justify" vertical="center" wrapText="1"/>
    </xf>
    <xf numFmtId="0" fontId="62" fillId="3" borderId="3" xfId="0" applyFont="1" applyFill="1" applyBorder="1" applyAlignment="1" applyProtection="1">
      <alignment horizontal="left" vertical="center"/>
    </xf>
    <xf numFmtId="0" fontId="62" fillId="3" borderId="12" xfId="0" applyFont="1" applyFill="1" applyBorder="1" applyAlignment="1" applyProtection="1">
      <alignment horizontal="left" vertical="center" wrapText="1"/>
    </xf>
    <xf numFmtId="0" fontId="62" fillId="3" borderId="8" xfId="0" applyFont="1" applyFill="1" applyBorder="1" applyAlignment="1" applyProtection="1">
      <alignment horizontal="justify" vertical="top" wrapText="1"/>
    </xf>
    <xf numFmtId="0" fontId="62" fillId="3" borderId="10" xfId="0" applyFont="1" applyFill="1" applyBorder="1" applyAlignment="1" applyProtection="1">
      <alignment horizontal="justify" vertical="center" wrapText="1"/>
    </xf>
    <xf numFmtId="0" fontId="62" fillId="3" borderId="8" xfId="0" applyFont="1" applyFill="1" applyBorder="1" applyAlignment="1" applyProtection="1">
      <alignment horizontal="justify" vertical="center" wrapText="1"/>
    </xf>
    <xf numFmtId="186" fontId="62" fillId="3" borderId="2" xfId="0" applyNumberFormat="1" applyFont="1" applyFill="1" applyBorder="1" applyAlignment="1" applyProtection="1">
      <alignment horizontal="center" vertical="center"/>
    </xf>
    <xf numFmtId="188" fontId="62" fillId="3" borderId="66" xfId="0" applyNumberFormat="1" applyFont="1" applyFill="1" applyBorder="1" applyAlignment="1" applyProtection="1">
      <alignment horizontal="center" vertical="center"/>
    </xf>
    <xf numFmtId="0" fontId="62" fillId="5" borderId="10" xfId="0" applyFont="1" applyFill="1" applyBorder="1" applyAlignment="1" applyProtection="1">
      <alignment horizontal="justify" vertical="center"/>
      <protection locked="0"/>
    </xf>
    <xf numFmtId="188" fontId="62" fillId="5" borderId="3" xfId="0" applyNumberFormat="1" applyFont="1" applyFill="1" applyBorder="1" applyAlignment="1" applyProtection="1">
      <alignment horizontal="center" vertical="center"/>
      <protection locked="0"/>
    </xf>
    <xf numFmtId="0" fontId="62" fillId="3" borderId="10" xfId="0" applyFont="1" applyFill="1" applyBorder="1" applyAlignment="1" applyProtection="1">
      <alignment horizontal="left" vertical="center"/>
    </xf>
    <xf numFmtId="0" fontId="62" fillId="3" borderId="10" xfId="0" applyFont="1" applyFill="1" applyBorder="1" applyAlignment="1" applyProtection="1">
      <alignment horizontal="left" vertical="center" wrapText="1"/>
    </xf>
    <xf numFmtId="0" fontId="62" fillId="3" borderId="8" xfId="0" applyFont="1" applyFill="1" applyBorder="1" applyAlignment="1" applyProtection="1">
      <alignment horizontal="left" vertical="center"/>
    </xf>
    <xf numFmtId="0" fontId="62" fillId="3" borderId="10" xfId="0" applyFont="1" applyFill="1" applyBorder="1" applyAlignment="1" applyProtection="1">
      <alignment horizontal="left" vertical="top" wrapText="1"/>
    </xf>
    <xf numFmtId="0" fontId="62" fillId="3" borderId="147" xfId="0" applyFont="1" applyFill="1" applyBorder="1" applyAlignment="1" applyProtection="1">
      <alignment horizontal="right" vertical="center"/>
    </xf>
    <xf numFmtId="0" fontId="62" fillId="3" borderId="131" xfId="0" applyFont="1" applyFill="1" applyBorder="1" applyAlignment="1" applyProtection="1">
      <alignment horizontal="left" vertical="center"/>
    </xf>
    <xf numFmtId="0" fontId="62" fillId="3" borderId="131" xfId="0" applyFont="1" applyFill="1" applyBorder="1" applyAlignment="1" applyProtection="1">
      <alignment horizontal="justify" vertical="center"/>
    </xf>
    <xf numFmtId="0" fontId="62" fillId="3" borderId="174" xfId="0" applyFont="1" applyFill="1" applyBorder="1" applyAlignment="1" applyProtection="1">
      <alignment horizontal="justify" vertical="center"/>
    </xf>
    <xf numFmtId="4" fontId="63" fillId="3" borderId="6" xfId="0" applyNumberFormat="1" applyFont="1" applyFill="1" applyBorder="1" applyAlignment="1" applyProtection="1">
      <alignment horizontal="center" vertical="center"/>
    </xf>
    <xf numFmtId="2" fontId="62" fillId="3" borderId="10" xfId="0" applyNumberFormat="1" applyFont="1" applyFill="1" applyBorder="1" applyAlignment="1" applyProtection="1">
      <alignment horizontal="justify" vertical="top" wrapText="1"/>
    </xf>
    <xf numFmtId="2" fontId="62" fillId="3" borderId="8" xfId="0" applyNumberFormat="1" applyFont="1" applyFill="1" applyBorder="1" applyAlignment="1" applyProtection="1">
      <alignment horizontal="justify" vertical="top" wrapText="1"/>
    </xf>
    <xf numFmtId="4" fontId="62" fillId="3" borderId="8" xfId="0" applyNumberFormat="1" applyFont="1" applyFill="1" applyBorder="1" applyAlignment="1" applyProtection="1">
      <alignment horizontal="justify" vertical="center"/>
    </xf>
    <xf numFmtId="4" fontId="63" fillId="3" borderId="9" xfId="0" applyNumberFormat="1" applyFont="1" applyFill="1" applyBorder="1" applyAlignment="1" applyProtection="1">
      <alignment horizontal="center" vertical="center"/>
    </xf>
    <xf numFmtId="4" fontId="62" fillId="3" borderId="10" xfId="0" applyNumberFormat="1" applyFont="1" applyFill="1" applyBorder="1" applyAlignment="1" applyProtection="1">
      <alignment horizontal="justify" vertical="center"/>
    </xf>
    <xf numFmtId="4" fontId="63" fillId="3" borderId="147" xfId="0" applyNumberFormat="1" applyFont="1" applyFill="1" applyBorder="1" applyAlignment="1" applyProtection="1">
      <alignment horizontal="right" vertical="center"/>
    </xf>
    <xf numFmtId="0" fontId="62" fillId="3" borderId="12" xfId="0" applyFont="1" applyFill="1" applyBorder="1" applyAlignment="1" applyProtection="1">
      <alignment horizontal="left" vertical="center"/>
    </xf>
    <xf numFmtId="4" fontId="63" fillId="3" borderId="4" xfId="0" applyNumberFormat="1" applyFont="1" applyFill="1" applyBorder="1" applyAlignment="1" applyProtection="1">
      <alignment horizontal="right" vertical="center"/>
    </xf>
    <xf numFmtId="177" fontId="63" fillId="3" borderId="10" xfId="0" applyNumberFormat="1" applyFont="1" applyFill="1" applyBorder="1" applyAlignment="1" applyProtection="1">
      <alignment horizontal="left"/>
    </xf>
    <xf numFmtId="185" fontId="62" fillId="3" borderId="5" xfId="0" applyNumberFormat="1" applyFont="1" applyFill="1" applyBorder="1" applyAlignment="1" applyProtection="1">
      <alignment horizontal="center" vertical="center"/>
    </xf>
    <xf numFmtId="186" fontId="62" fillId="3" borderId="61" xfId="0" applyNumberFormat="1" applyFont="1" applyFill="1" applyBorder="1" applyAlignment="1" applyProtection="1">
      <alignment horizontal="right" vertical="center"/>
    </xf>
    <xf numFmtId="0" fontId="62" fillId="3" borderId="8" xfId="0" applyFont="1" applyFill="1" applyBorder="1" applyAlignment="1" applyProtection="1">
      <alignment horizontal="left" vertical="top" wrapText="1"/>
    </xf>
    <xf numFmtId="0" fontId="62" fillId="3" borderId="117" xfId="0" applyFont="1" applyFill="1" applyBorder="1" applyAlignment="1" applyProtection="1">
      <alignment horizontal="left" vertical="center" wrapText="1"/>
    </xf>
    <xf numFmtId="0" fontId="62" fillId="3" borderId="150" xfId="0" applyFont="1" applyFill="1" applyBorder="1" applyAlignment="1" applyProtection="1">
      <alignment horizontal="justify" vertical="center" wrapText="1"/>
    </xf>
    <xf numFmtId="189" fontId="62" fillId="3" borderId="32" xfId="0" applyNumberFormat="1" applyFont="1" applyFill="1" applyBorder="1" applyAlignment="1" applyProtection="1">
      <alignment horizontal="center" vertical="center"/>
    </xf>
    <xf numFmtId="189" fontId="62" fillId="3" borderId="66" xfId="0" applyNumberFormat="1" applyFont="1" applyFill="1" applyBorder="1" applyAlignment="1" applyProtection="1">
      <alignment horizontal="center" vertical="center"/>
    </xf>
    <xf numFmtId="186" fontId="62" fillId="3" borderId="10" xfId="0" applyNumberFormat="1" applyFont="1" applyFill="1" applyBorder="1" applyAlignment="1" applyProtection="1">
      <alignment horizontal="center" vertical="center"/>
    </xf>
    <xf numFmtId="4" fontId="63" fillId="3" borderId="61" xfId="0" applyNumberFormat="1" applyFont="1" applyFill="1" applyBorder="1" applyAlignment="1" applyProtection="1">
      <alignment horizontal="right" vertical="center"/>
    </xf>
    <xf numFmtId="186" fontId="62" fillId="3" borderId="8" xfId="0" applyNumberFormat="1" applyFont="1" applyFill="1" applyBorder="1" applyAlignment="1" applyProtection="1">
      <alignment horizontal="center" vertical="center"/>
    </xf>
  </cellXfs>
  <cellStyles count="5">
    <cellStyle name="Hiperlink" xfId="3" builtinId="8"/>
    <cellStyle name="Normal" xfId="0" builtinId="0"/>
    <cellStyle name="Porcentagem" xfId="2" builtinId="5"/>
    <cellStyle name="Texto Explicativo" xfId="4" builtinId="53" customBuiltin="1"/>
    <cellStyle name="Vírgula" xfId="1" builtinId="3"/>
  </cellStyles>
  <dxfs count="28">
    <dxf>
      <alignment horizontal="general" vertical="bottom" textRotation="0" wrapText="0" indent="0" shrinkToFit="0" readingOrder="1"/>
    </dxf>
    <dxf>
      <alignment horizontal="general" vertical="bottom" textRotation="0" wrapText="0" indent="0" shrinkToFit="0" readingOrder="1"/>
    </dxf>
    <dxf>
      <alignment horizontal="general" vertical="bottom" textRotation="0" wrapText="0" indent="0" shrinkToFit="0" readingOrder="1"/>
    </dxf>
    <dxf>
      <alignment horizontal="general" vertical="bottom" textRotation="0" wrapText="0" indent="0" shrinkToFit="0" readingOrder="1"/>
    </dxf>
    <dxf>
      <alignment horizontal="general" vertical="bottom" textRotation="0" wrapText="0" indent="0" shrinkToFit="0" readingOrder="1"/>
    </dxf>
    <dxf>
      <alignment horizontal="general" vertical="bottom" textRotation="0" wrapText="0" indent="0" shrinkToFit="0" readingOrder="1"/>
    </dxf>
    <dxf>
      <alignment horizontal="general" vertical="bottom" textRotation="0" wrapText="0" indent="0" shrinkToFit="0" readingOrder="1"/>
    </dxf>
    <dxf>
      <alignment horizontal="general" vertical="bottom" textRotation="0" wrapText="0" indent="0" shrinkToFit="0" readingOrder="1"/>
    </dxf>
    <dxf>
      <alignment horizontal="general" vertical="bottom" textRotation="0" wrapText="0" indent="0" shrinkToFit="0" readingOrder="1"/>
    </dxf>
    <dxf>
      <alignment horizontal="general" vertical="bottom" textRotation="0" wrapText="0" indent="0" shrinkToFit="0" readingOrder="1"/>
    </dxf>
    <dxf>
      <alignment horizontal="general" vertical="bottom" textRotation="0" wrapText="0" indent="0" shrinkToFit="0" readingOrder="1"/>
    </dxf>
    <dxf>
      <alignment horizontal="general" vertical="bottom" textRotation="0" wrapText="0" indent="0" shrinkToFit="0" readingOrder="1"/>
    </dxf>
    <dxf>
      <alignment horizontal="general" vertical="bottom" textRotation="0" wrapText="0" indent="0" shrinkToFit="0" readingOrder="1"/>
    </dxf>
    <dxf>
      <alignment horizontal="general" vertical="bottom" textRotation="0" wrapText="0" indent="0" shrinkToFit="0" readingOrder="1"/>
    </dxf>
    <dxf>
      <alignment horizontal="general" vertical="bottom" textRotation="0" wrapText="0" indent="0" shrinkToFit="0" readingOrder="1"/>
    </dxf>
    <dxf>
      <alignment horizontal="general" vertical="bottom" textRotation="0" wrapText="0" indent="0" shrinkToFit="0" readingOrder="1"/>
    </dxf>
    <dxf>
      <alignment horizontal="general" vertical="bottom" textRotation="0" wrapText="0" indent="0" shrinkToFit="0" readingOrder="1"/>
    </dxf>
    <dxf>
      <alignment horizontal="general" vertical="bottom" textRotation="0" wrapText="0" indent="0" shrinkToFit="0" readingOrder="1"/>
    </dxf>
    <dxf>
      <alignment horizontal="general" vertical="bottom" textRotation="0" wrapText="0" indent="0" shrinkToFit="0" readingOrder="1"/>
    </dxf>
    <dxf>
      <alignment horizontal="general" vertical="bottom" textRotation="0" wrapText="0" indent="0" shrinkToFit="0" readingOrder="1"/>
    </dxf>
    <dxf>
      <alignment horizontal="general" vertical="bottom" textRotation="0" wrapText="0" indent="0" shrinkToFit="0" readingOrder="1"/>
    </dxf>
    <dxf>
      <alignment horizontal="general" vertical="bottom" textRotation="0" wrapText="0" indent="0" shrinkToFit="0" readingOrder="1"/>
    </dxf>
    <dxf>
      <alignment horizontal="general" vertical="bottom" textRotation="0" wrapText="0" indent="0" shrinkToFit="0" readingOrder="1"/>
    </dxf>
    <dxf>
      <alignment horizontal="general" vertical="bottom" textRotation="0" wrapText="0" indent="0" shrinkToFit="0" readingOrder="1"/>
    </dxf>
    <dxf>
      <alignment horizontal="general" vertical="bottom" textRotation="0" wrapText="0" indent="0" shrinkToFit="0" readingOrder="1"/>
    </dxf>
    <dxf>
      <alignment horizontal="general" vertical="bottom" textRotation="0" wrapText="0" indent="0" shrinkToFit="0" readingOrder="1"/>
    </dxf>
    <dxf>
      <alignment horizontal="general" vertical="bottom" textRotation="0" wrapText="0" indent="0" shrinkToFit="0" readingOrder="1"/>
    </dxf>
    <dxf>
      <alignment horizontal="general" vertical="bottom" textRotation="0" wrapText="0" indent="0" shrinkToFit="0" readingOrder="1"/>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C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BFBFB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worksheet" Target="worksheets/sheet18.xml" /><Relationship Id="rId26" Type="http://schemas.openxmlformats.org/officeDocument/2006/relationships/worksheet" Target="worksheets/sheet26.xml" /><Relationship Id="rId39" Type="http://schemas.openxmlformats.org/officeDocument/2006/relationships/calcChain" Target="calcChain.xml" /><Relationship Id="rId3" Type="http://schemas.openxmlformats.org/officeDocument/2006/relationships/worksheet" Target="worksheets/sheet3.xml" /><Relationship Id="rId21" Type="http://schemas.openxmlformats.org/officeDocument/2006/relationships/worksheet" Target="worksheets/sheet21.xml" /><Relationship Id="rId34" Type="http://schemas.openxmlformats.org/officeDocument/2006/relationships/worksheet" Target="worksheets/sheet34.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5" Type="http://schemas.openxmlformats.org/officeDocument/2006/relationships/worksheet" Target="worksheets/sheet25.xml" /><Relationship Id="rId33" Type="http://schemas.openxmlformats.org/officeDocument/2006/relationships/worksheet" Target="worksheets/sheet33.xml" /><Relationship Id="rId38"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worksheet" Target="worksheets/sheet20.xml" /><Relationship Id="rId29" Type="http://schemas.openxmlformats.org/officeDocument/2006/relationships/worksheet" Target="worksheets/sheet29.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24" Type="http://schemas.openxmlformats.org/officeDocument/2006/relationships/worksheet" Target="worksheets/sheet24.xml" /><Relationship Id="rId32" Type="http://schemas.openxmlformats.org/officeDocument/2006/relationships/worksheet" Target="worksheets/sheet32.xml" /><Relationship Id="rId37" Type="http://schemas.openxmlformats.org/officeDocument/2006/relationships/styles" Target="styles.xml" /><Relationship Id="rId5" Type="http://schemas.openxmlformats.org/officeDocument/2006/relationships/worksheet" Target="worksheets/sheet5.xml" /><Relationship Id="rId15" Type="http://schemas.openxmlformats.org/officeDocument/2006/relationships/worksheet" Target="worksheets/sheet15.xml" /><Relationship Id="rId23" Type="http://schemas.openxmlformats.org/officeDocument/2006/relationships/worksheet" Target="worksheets/sheet23.xml" /><Relationship Id="rId28" Type="http://schemas.openxmlformats.org/officeDocument/2006/relationships/worksheet" Target="worksheets/sheet28.xml" /><Relationship Id="rId36" Type="http://schemas.openxmlformats.org/officeDocument/2006/relationships/theme" Target="theme/theme1.xml" /><Relationship Id="rId10" Type="http://schemas.openxmlformats.org/officeDocument/2006/relationships/worksheet" Target="worksheets/sheet10.xml" /><Relationship Id="rId19" Type="http://schemas.openxmlformats.org/officeDocument/2006/relationships/worksheet" Target="worksheets/sheet19.xml" /><Relationship Id="rId31" Type="http://schemas.openxmlformats.org/officeDocument/2006/relationships/worksheet" Target="worksheets/sheet31.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worksheet" Target="worksheets/sheet22.xml" /><Relationship Id="rId27" Type="http://schemas.openxmlformats.org/officeDocument/2006/relationships/worksheet" Target="worksheets/sheet27.xml" /><Relationship Id="rId30" Type="http://schemas.openxmlformats.org/officeDocument/2006/relationships/worksheet" Target="worksheets/sheet30.xml" /><Relationship Id="rId35" Type="http://schemas.openxmlformats.org/officeDocument/2006/relationships/externalLink" Target="externalLinks/externalLink1.xml" /></Relationships>
</file>

<file path=xl/drawings/_rels/drawing1.xml.rels><?xml version="1.0" encoding="UTF-8" standalone="yes"?>
<Relationships xmlns="http://schemas.openxmlformats.org/package/2006/relationships"><Relationship Id="rId2" Type="http://schemas.openxmlformats.org/officeDocument/2006/relationships/image" Target="../media/image2.emf" /><Relationship Id="rId1" Type="http://schemas.openxmlformats.org/officeDocument/2006/relationships/image" Target="../media/image1.png" /></Relationships>
</file>

<file path=xl/drawings/_rels/drawing2.xml.rels><?xml version="1.0" encoding="UTF-8" standalone="yes"?>
<Relationships xmlns="http://schemas.openxmlformats.org/package/2006/relationships"><Relationship Id="rId1" Type="http://schemas.openxmlformats.org/officeDocument/2006/relationships/image" Target="../media/image2.emf" /></Relationships>
</file>

<file path=xl/drawings/_rels/drawing3.xml.rels><?xml version="1.0" encoding="UTF-8" standalone="yes"?>
<Relationships xmlns="http://schemas.openxmlformats.org/package/2006/relationships"><Relationship Id="rId2" Type="http://schemas.openxmlformats.org/officeDocument/2006/relationships/image" Target="../media/image1.png" /><Relationship Id="rId1" Type="http://schemas.openxmlformats.org/officeDocument/2006/relationships/image" Target="../media/image2.emf" /></Relationships>
</file>

<file path=xl/drawings/_rels/drawing4.xml.rels><?xml version="1.0" encoding="UTF-8" standalone="yes"?>
<Relationships xmlns="http://schemas.openxmlformats.org/package/2006/relationships"><Relationship Id="rId1" Type="http://schemas.openxmlformats.org/officeDocument/2006/relationships/image" Target="../media/image1.png" /></Relationships>
</file>

<file path=xl/drawings/_rels/drawing5.xml.rels><?xml version="1.0" encoding="UTF-8" standalone="yes"?>
<Relationships xmlns="http://schemas.openxmlformats.org/package/2006/relationships"><Relationship Id="rId3" Type="http://schemas.openxmlformats.org/officeDocument/2006/relationships/image" Target="../media/image1.png" /><Relationship Id="rId2" Type="http://schemas.openxmlformats.org/officeDocument/2006/relationships/image" Target="../media/image4.png" /><Relationship Id="rId1" Type="http://schemas.openxmlformats.org/officeDocument/2006/relationships/image" Target="../media/image3.wmf" /></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37800</xdr:rowOff>
    </xdr:from>
    <xdr:to>
      <xdr:col>1</xdr:col>
      <xdr:colOff>1017360</xdr:colOff>
      <xdr:row>1</xdr:row>
      <xdr:rowOff>584692</xdr:rowOff>
    </xdr:to>
    <xdr:pic>
      <xdr:nvPicPr>
        <xdr:cNvPr id="2" name="Imagem 2">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0" y="228240"/>
          <a:ext cx="1773000" cy="885600"/>
        </a:xfrm>
        <a:prstGeom prst="rect">
          <a:avLst/>
        </a:prstGeom>
        <a:ln>
          <a:noFill/>
        </a:ln>
      </xdr:spPr>
    </xdr:pic>
    <xdr:clientData/>
  </xdr:twoCellAnchor>
  <xdr:twoCellAnchor>
    <xdr:from>
      <xdr:col>6</xdr:col>
      <xdr:colOff>1525836</xdr:colOff>
      <xdr:row>36</xdr:row>
      <xdr:rowOff>170188</xdr:rowOff>
    </xdr:from>
    <xdr:to>
      <xdr:col>6</xdr:col>
      <xdr:colOff>4613313</xdr:colOff>
      <xdr:row>43</xdr:row>
      <xdr:rowOff>114759</xdr:rowOff>
    </xdr:to>
    <xdr:pic>
      <xdr:nvPicPr>
        <xdr:cNvPr id="3" name="Imagem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99812" y="6665549"/>
          <a:ext cx="3087477" cy="131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238125</xdr:colOff>
      <xdr:row>137</xdr:row>
      <xdr:rowOff>104774</xdr:rowOff>
    </xdr:from>
    <xdr:to>
      <xdr:col>12</xdr:col>
      <xdr:colOff>1181100</xdr:colOff>
      <xdr:row>144</xdr:row>
      <xdr:rowOff>88594</xdr:rowOff>
    </xdr:to>
    <xdr:pic>
      <xdr:nvPicPr>
        <xdr:cNvPr id="2" name="Imagem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86775" y="18249899"/>
          <a:ext cx="3038475" cy="1326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400050</xdr:colOff>
      <xdr:row>172</xdr:row>
      <xdr:rowOff>180974</xdr:rowOff>
    </xdr:from>
    <xdr:to>
      <xdr:col>12</xdr:col>
      <xdr:colOff>471202</xdr:colOff>
      <xdr:row>180</xdr:row>
      <xdr:rowOff>9524</xdr:rowOff>
    </xdr:to>
    <xdr:pic>
      <xdr:nvPicPr>
        <xdr:cNvPr id="3" name="Imagem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53125" y="15192374"/>
          <a:ext cx="3119152"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237960</xdr:colOff>
      <xdr:row>0</xdr:row>
      <xdr:rowOff>133200</xdr:rowOff>
    </xdr:from>
    <xdr:to>
      <xdr:col>3</xdr:col>
      <xdr:colOff>438840</xdr:colOff>
      <xdr:row>5</xdr:row>
      <xdr:rowOff>104760</xdr:rowOff>
    </xdr:to>
    <xdr:pic>
      <xdr:nvPicPr>
        <xdr:cNvPr id="2" name="Imagem 2">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2"/>
        <a:stretch/>
      </xdr:blipFill>
      <xdr:spPr>
        <a:xfrm>
          <a:off x="237960" y="133200"/>
          <a:ext cx="2114640" cy="102852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305280</xdr:colOff>
      <xdr:row>0</xdr:row>
      <xdr:rowOff>40320</xdr:rowOff>
    </xdr:from>
    <xdr:to>
      <xdr:col>1</xdr:col>
      <xdr:colOff>1776240</xdr:colOff>
      <xdr:row>1</xdr:row>
      <xdr:rowOff>296640</xdr:rowOff>
    </xdr:to>
    <xdr:pic>
      <xdr:nvPicPr>
        <xdr:cNvPr id="2" name="Imagem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tretch/>
      </xdr:blipFill>
      <xdr:spPr>
        <a:xfrm>
          <a:off x="812520" y="40320"/>
          <a:ext cx="1470960" cy="69192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124200</xdr:colOff>
      <xdr:row>40</xdr:row>
      <xdr:rowOff>0</xdr:rowOff>
    </xdr:from>
    <xdr:to>
      <xdr:col>7</xdr:col>
      <xdr:colOff>428760</xdr:colOff>
      <xdr:row>43</xdr:row>
      <xdr:rowOff>57240</xdr:rowOff>
    </xdr:to>
    <xdr:pic>
      <xdr:nvPicPr>
        <xdr:cNvPr id="3" name="Picture 1223">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a:stretch/>
      </xdr:blipFill>
      <xdr:spPr>
        <a:xfrm>
          <a:off x="1534320" y="7871400"/>
          <a:ext cx="5182560" cy="628560"/>
        </a:xfrm>
        <a:prstGeom prst="rect">
          <a:avLst/>
        </a:prstGeom>
        <a:ln>
          <a:noFill/>
        </a:ln>
      </xdr:spPr>
    </xdr:pic>
    <xdr:clientData/>
  </xdr:twoCellAnchor>
  <xdr:twoCellAnchor editAs="oneCell">
    <xdr:from>
      <xdr:col>2</xdr:col>
      <xdr:colOff>686160</xdr:colOff>
      <xdr:row>43</xdr:row>
      <xdr:rowOff>95760</xdr:rowOff>
    </xdr:from>
    <xdr:to>
      <xdr:col>3</xdr:col>
      <xdr:colOff>314280</xdr:colOff>
      <xdr:row>44</xdr:row>
      <xdr:rowOff>114480</xdr:rowOff>
    </xdr:to>
    <xdr:pic>
      <xdr:nvPicPr>
        <xdr:cNvPr id="4" name="Picture 1027">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a:stretch/>
      </xdr:blipFill>
      <xdr:spPr>
        <a:xfrm>
          <a:off x="2096280" y="8538480"/>
          <a:ext cx="918360" cy="209160"/>
        </a:xfrm>
        <a:prstGeom prst="rect">
          <a:avLst/>
        </a:prstGeom>
        <a:ln>
          <a:noFill/>
        </a:ln>
      </xdr:spPr>
    </xdr:pic>
    <xdr:clientData/>
  </xdr:twoCellAnchor>
  <xdr:twoCellAnchor editAs="oneCell">
    <xdr:from>
      <xdr:col>0</xdr:col>
      <xdr:colOff>133200</xdr:colOff>
      <xdr:row>0</xdr:row>
      <xdr:rowOff>85680</xdr:rowOff>
    </xdr:from>
    <xdr:to>
      <xdr:col>2</xdr:col>
      <xdr:colOff>810720</xdr:colOff>
      <xdr:row>5</xdr:row>
      <xdr:rowOff>132840</xdr:rowOff>
    </xdr:to>
    <xdr:pic>
      <xdr:nvPicPr>
        <xdr:cNvPr id="5" name="Imagem 4">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3"/>
        <a:stretch/>
      </xdr:blipFill>
      <xdr:spPr>
        <a:xfrm>
          <a:off x="133200" y="85680"/>
          <a:ext cx="2087640" cy="1028160"/>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r&#231;amento%20Santar&#233;m%20Novo%202021.xls"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ções de entrada"/>
      <sheetName val="Atualização de custos unitarios"/>
      <sheetName val="FIC"/>
      <sheetName val="FIT"/>
      <sheetName val="Plan. de campo"/>
      <sheetName val="Nota de serviço"/>
      <sheetName val="Planilha orçamentária"/>
      <sheetName val="Cronograma"/>
      <sheetName val="Composições - Equipamentos"/>
      <sheetName val="Composições - Transportes"/>
      <sheetName val="LDI"/>
      <sheetName val="1.1-Mobil"/>
      <sheetName val="1.2-Exec.Canteiro"/>
      <sheetName val="1.3-Canteiro.Aloj"/>
      <sheetName val="1.4-Placa.Obra"/>
      <sheetName val="1.5-Comp."/>
      <sheetName val="2.1-Licenc."/>
      <sheetName val="2.2-Proj Exec"/>
      <sheetName val="2.3-Proj Ponte CA"/>
      <sheetName val="2.4-Sondagem 1ª cat"/>
      <sheetName val="2.5-Sondagem 2ª cat"/>
      <sheetName val="2.6-Sondagem 3ª cat"/>
      <sheetName val="2.7-Hidrologia Pontes"/>
      <sheetName val="2.8-Topografia Pontes"/>
      <sheetName val="2.9-Comp"/>
      <sheetName val="2.10-Comp"/>
      <sheetName val="2.11-Comp "/>
      <sheetName val="3.1-Adm. Local"/>
      <sheetName val="3.2-Comp."/>
      <sheetName val="4.1-Desmat. e Limpeza"/>
      <sheetName val="4.2-Desmat. 0.15"/>
      <sheetName val="4.3-Desmat.Maior 0.15"/>
      <sheetName val="4.4-Destoc. 0.15 a 0.30"/>
      <sheetName val="4.5-Destoc.Maior 0.30"/>
      <sheetName val="4.6-Comp"/>
      <sheetName val="4.7-Comp"/>
      <sheetName val="4.8-Comp"/>
      <sheetName val="5.1-ECT-50m"/>
      <sheetName val="5.2-ECT-50-200m"/>
      <sheetName val="5.3-ECT-200-400m"/>
      <sheetName val="5.4-ECT-400-600m"/>
      <sheetName val="5.5-ECT-600-800m"/>
      <sheetName val="5.6-ECT-800-1000m"/>
      <sheetName val="5.7-Esc.Carga 2a"/>
      <sheetName val="5.8-Esc.Carga 2a 50-200"/>
      <sheetName val="5.9-Esc.Carga 3a"/>
      <sheetName val="5.10-Esc.Carga"/>
      <sheetName val="5.11-Transp LN"/>
      <sheetName val="5.12-Transp RP"/>
      <sheetName val="5.13-Cpct.Aterro"/>
      <sheetName val="5.14-Reconf.Plat."/>
      <sheetName val="5.15-Esc.Mec.Vala"/>
      <sheetName val="5.16-Bigodes"/>
      <sheetName val="5.17-Exp.Areia"/>
      <sheetName val="5.18-Exp.Jaz"/>
      <sheetName val="5.19-Semead.Manual.Taludes"/>
      <sheetName val="5.20-Caixas.Retenção"/>
      <sheetName val="5.21-Lombadas"/>
      <sheetName val="5.22-Comp"/>
      <sheetName val="5.23-Comp"/>
      <sheetName val="5.24-Comp"/>
      <sheetName val="5.25-Comp"/>
      <sheetName val="6.1-Cp.BSTC-40"/>
      <sheetName val="6.2-Cp.BSTC-60"/>
      <sheetName val="6.3-Cp.BSTC-80"/>
      <sheetName val="6.4-Cp.BSTC-100"/>
      <sheetName val="6.5-Cp.BSTC-120"/>
      <sheetName val="6.6-Cp.BSTC-150"/>
      <sheetName val="6.7-Cp.BDTC-40"/>
      <sheetName val="6.8-Cp.BDTC-60"/>
      <sheetName val="6.9-Cp.BDTC-80"/>
      <sheetName val="6.10-Cp.BDTC-100"/>
      <sheetName val="6.11-Cp.BDTC-120"/>
      <sheetName val="6.12-Cp.BDTC-150"/>
      <sheetName val="6.13-Cp.BTTC-40"/>
      <sheetName val="6.14-Cp.BTTC-60"/>
      <sheetName val="6.15-Cp.BTTC-80"/>
      <sheetName val="6.16-Cp.BTTC-100"/>
      <sheetName val="6.17-Cp.BTTC-120"/>
      <sheetName val="6.18-Cp.BTTC-150"/>
      <sheetName val="6.19-Bca.BSTC-40"/>
      <sheetName val="6.20-Bca.BSTC-60"/>
      <sheetName val="6.21-Bca.BSTC-80"/>
      <sheetName val="6.22-Bca.BSTC-100"/>
      <sheetName val="6.23-Bca.BSTC-120"/>
      <sheetName val="6.24-Bca.BSTC-150"/>
      <sheetName val="6.25-Bca.BDTC-40"/>
      <sheetName val="6.26-Bca.BDTC-60"/>
      <sheetName val="6.27-Bca.BDTC-80"/>
      <sheetName val="6.28-Bca.BDTC-100"/>
      <sheetName val="6.29-Bca.BDTC-120"/>
      <sheetName val="6.30-Bca.BDTC-150"/>
      <sheetName val="6.31-Bca.BTTC-40"/>
      <sheetName val="6.32-Bca.BTTC-60"/>
      <sheetName val="6.33-Bca.BTTC-80"/>
      <sheetName val="6.34-Bca.BTTC-100"/>
      <sheetName val="6.35-Bca.BTTC-120"/>
      <sheetName val="6.36-Bca.BTTC-150"/>
      <sheetName val="6.19-Bca.Ped.BSTC-40"/>
      <sheetName val="6.20-Bca.Ped.BSTC-60"/>
      <sheetName val="6.21-Bca.Ped.BSTC-80"/>
      <sheetName val="6.22-Bca.Ped.BSTC-100"/>
      <sheetName val="6.23-Bca.Ped.BSTC-120"/>
      <sheetName val="6.24-Bca.Ped.BSTC-150"/>
      <sheetName val="6.25-Bca.Ped.BDTC-40"/>
      <sheetName val="6.26-Bca.Ped.BDTC-60"/>
      <sheetName val="6.27-Bca.Ped.BDTC-80"/>
      <sheetName val="6.28-Bca.Ped.BDTC-100"/>
      <sheetName val="6.29-Bca.Ped.BDTC-120"/>
      <sheetName val="6.30-Bca.Ped.BDTC-150"/>
      <sheetName val="6.31-Bca.Ped.BTTC-40"/>
      <sheetName val="6.32-Bca.Ped.BTTC-60"/>
      <sheetName val="6.33-Bca.Ped.BTTC-80"/>
      <sheetName val="6.34-Bca.Ped.BTTC-100"/>
      <sheetName val="6.35-Bca.Ped.BTTC-120"/>
      <sheetName val="6.36-Bca.Ped.BTTC-150"/>
      <sheetName val="6.37-Esc.Mec.Vala"/>
      <sheetName val="6.38-Reaterro.Man.Soq.Vib"/>
      <sheetName val="6.39-Comp"/>
      <sheetName val="6.40-Comp"/>
      <sheetName val="6.41-Comp"/>
      <sheetName val="Quant. Ponte Madeira"/>
      <sheetName val="7.1-Pte.Mad."/>
      <sheetName val="7.2-Pte.Ala."/>
      <sheetName val="7.3-Pte.Ped.Arg.Mad."/>
      <sheetName val="7.4-Ptlh.Mad"/>
      <sheetName val="7.5-Pte.Mist.Conc.Mad."/>
      <sheetName val="7.6-Pte.Conc.Armado"/>
      <sheetName val="7.7-Sinaliz.Obra.Arte"/>
      <sheetName val="7.8-Mata.Burro"/>
      <sheetName val="7.9-Passagem.Molhada"/>
      <sheetName val="7.10-Sinaliz.Provisória"/>
      <sheetName val="7.11-Comp"/>
      <sheetName val="7.12-Comp"/>
      <sheetName val="7.13-Comp"/>
      <sheetName val="8.1-Esc.Cga.Mat.Jaz."/>
      <sheetName val="8.2-Transp.LN"/>
      <sheetName val="8.3-Transp.RP"/>
      <sheetName val="8.4-Cpct.Aterro"/>
      <sheetName val="8.5-Solo.Brita"/>
      <sheetName val="8.6-Comp"/>
      <sheetName val="8.7-Comp"/>
      <sheetName val="9.1-Preenc.Mat.Org.Fx.Domínio"/>
      <sheetName val="9.2-Semeadura manual"/>
      <sheetName val="9.3-Comp"/>
      <sheetName val="9.4-Comp"/>
      <sheetName val="9.5-Comp"/>
      <sheetName val="A001-Escav.Man.Valas"/>
      <sheetName val="A002-AçoCA-25"/>
      <sheetName val="A003-Tábua"/>
      <sheetName val="A004-Forma.Comum"/>
      <sheetName val="A005-Argamassa.1-3"/>
      <sheetName val="A006-Argamassa.1-4"/>
      <sheetName val="A007-Alv.Ped.Arg.1-3"/>
      <sheetName val="A008-Alv.Ped.Arg.1-4"/>
      <sheetName val="A009-Conc.20MPa"/>
      <sheetName val="A010-Conc.Cicl.20MPa"/>
      <sheetName val="A011-Pint. Esmalte"/>
      <sheetName val="A012-Pint.Imuniz."/>
      <sheetName val="A013-Placa.Refletiva.Sin"/>
      <sheetName val="A014-Placa.Refletiva.Obra"/>
      <sheetName val="A015-Suporte.Placa"/>
      <sheetName val="A016-Levant.Planialt."/>
      <sheetName val="A017-Pintura.Eletrostática"/>
      <sheetName val="A018-Transp.Cam.Basc.Rev.Pri"/>
      <sheetName val="A019-Enroc.Pedr.Arrum"/>
      <sheetName val="A020-Colchão.Areia"/>
      <sheetName val="A021-Roçada.Manual"/>
      <sheetName val="A022-Placa.Refl.D-60"/>
      <sheetName val="A023-Placa.Refl.100x60"/>
      <sheetName val="A024-Placa.Refl.Barreira"/>
      <sheetName val="Conversão ECT Basc 10m3"/>
      <sheetName val="Vol. Bueiro40"/>
      <sheetName val="Vol. Bueiro60"/>
      <sheetName val="Vol. Bueiro80"/>
      <sheetName val="Vol. Bueiro100"/>
      <sheetName val="Vol. Bueiro120"/>
      <sheetName val="Vol. Bueiro150"/>
      <sheetName val="Vol. Ref"/>
    </sheetNames>
    <sheetDataSet>
      <sheetData sheetId="0">
        <row r="5">
          <cell r="C5" t="str">
            <v>Estado do Pará</v>
          </cell>
        </row>
        <row r="7">
          <cell r="C7" t="str">
            <v>Prefeitura Municipal de Santarém Novo</v>
          </cell>
        </row>
        <row r="11">
          <cell r="C11" t="str">
            <v>Construção / Recuperação e complementação de estradas vicinais</v>
          </cell>
        </row>
        <row r="21">
          <cell r="C21" t="str">
            <v>RESEX CHOCOARÉ-MATOGROSSO</v>
          </cell>
        </row>
        <row r="25">
          <cell r="C25" t="str">
            <v>GPS Garmin 76</v>
          </cell>
        </row>
        <row r="27">
          <cell r="C27">
            <v>44433</v>
          </cell>
        </row>
        <row r="30">
          <cell r="C30" t="str">
            <v>Nome do profissional</v>
          </cell>
        </row>
        <row r="31">
          <cell r="C31" t="str">
            <v>Engº Civil - CREA 0000 / D</v>
          </cell>
        </row>
      </sheetData>
      <sheetData sheetId="1">
        <row r="4">
          <cell r="C4" t="str">
            <v>PROJETO BÁSICO DE ENGENHARIA</v>
          </cell>
        </row>
        <row r="12">
          <cell r="A12" t="str">
            <v>DNIT –</v>
          </cell>
          <cell r="B12" t="str">
            <v>E9010</v>
          </cell>
          <cell r="C12" t="str">
            <v>Balança plataforma digital com mesa de 75 x 75 cm e capacidade de 500 kg (BKH - 500 Advanced - Balmak)</v>
          </cell>
          <cell r="E12">
            <v>4620.277</v>
          </cell>
        </row>
        <row r="13">
          <cell r="A13" t="str">
            <v>DNIT –</v>
          </cell>
          <cell r="B13" t="str">
            <v>E9064</v>
          </cell>
          <cell r="C13" t="str">
            <v>Transportador manual gerica com capacidade de 180 l</v>
          </cell>
          <cell r="E13">
            <v>571.71929999999998</v>
          </cell>
        </row>
        <row r="14">
          <cell r="A14" t="str">
            <v>DNIT –</v>
          </cell>
          <cell r="B14" t="str">
            <v>E9066</v>
          </cell>
          <cell r="C14" t="str">
            <v>Grupo gerador - 13 / 14 kVA</v>
          </cell>
          <cell r="E14">
            <v>37065.890200000002</v>
          </cell>
        </row>
        <row r="15">
          <cell r="A15" t="str">
            <v>DNIT –</v>
          </cell>
          <cell r="B15" t="str">
            <v>E9069</v>
          </cell>
          <cell r="C15" t="str">
            <v>Vibrador de imersão para concreto - 4,1 kW (D = 35 mm - Menegotti)</v>
          </cell>
          <cell r="E15">
            <v>2692.9009000000001</v>
          </cell>
        </row>
        <row r="16">
          <cell r="A16" t="str">
            <v>DNIT –</v>
          </cell>
          <cell r="B16" t="str">
            <v>E9071</v>
          </cell>
          <cell r="C16" t="str">
            <v>Transportador manual carrinho de mão com capacidade de 80 l</v>
          </cell>
          <cell r="E16">
            <v>223.76669999999999</v>
          </cell>
        </row>
        <row r="17">
          <cell r="A17" t="str">
            <v>DNIT –</v>
          </cell>
          <cell r="B17" t="str">
            <v>E9076</v>
          </cell>
          <cell r="C17" t="str">
            <v>Equipamento de pintura com cabine de 7,00 kW e estufa de 80.000 kCal para pintura eletrostática</v>
          </cell>
          <cell r="E17">
            <v>126689.5778</v>
          </cell>
        </row>
        <row r="18">
          <cell r="A18" t="str">
            <v>DNIT –</v>
          </cell>
          <cell r="B18" t="str">
            <v>E9502</v>
          </cell>
          <cell r="C18" t="str">
            <v>Bate-estaca de gravidade para 3,5 a 4,0 t - 119 Kw</v>
          </cell>
          <cell r="E18">
            <v>961473.99459999998</v>
          </cell>
        </row>
        <row r="19">
          <cell r="A19" t="str">
            <v>DNIT –</v>
          </cell>
          <cell r="B19" t="str">
            <v>E9507</v>
          </cell>
          <cell r="C19" t="str">
            <v>Computador, plotter de recorte e software</v>
          </cell>
          <cell r="E19">
            <v>36457.966399999998</v>
          </cell>
        </row>
        <row r="20">
          <cell r="A20" t="str">
            <v>DNIT –</v>
          </cell>
          <cell r="B20" t="str">
            <v>E9508</v>
          </cell>
          <cell r="C20" t="str">
            <v>Caminhão carroceria com capacidade de 9 t - 136 kW (Atego 1419 - Mercedes-Benz)</v>
          </cell>
        </row>
        <row r="21">
          <cell r="B21" t="str">
            <v>A9309</v>
          </cell>
          <cell r="C21" t="str">
            <v>Caminhão plataforma 4 x 2, PBT 17.100 kg e distância entre eixos 4,8 m - 136 kW - Motorista de caminhão</v>
          </cell>
          <cell r="E21">
            <v>402510.05359999998</v>
          </cell>
        </row>
        <row r="22">
          <cell r="B22" t="str">
            <v>A9350</v>
          </cell>
          <cell r="C22" t="str">
            <v>Carroceria de madeira com capacidade de 9 t</v>
          </cell>
          <cell r="E22">
            <v>19705.489600000001</v>
          </cell>
        </row>
        <row r="23">
          <cell r="A23" t="str">
            <v>DNIT –</v>
          </cell>
          <cell r="B23" t="str">
            <v>E9511</v>
          </cell>
          <cell r="C23" t="str">
            <v>Carregadeira de pneus com capacidade de 3,30 m³ - 213 kW (950H - Caterpillar)</v>
          </cell>
          <cell r="E23">
            <v>1035915.911</v>
          </cell>
        </row>
        <row r="24">
          <cell r="A24" t="str">
            <v>DNIT –</v>
          </cell>
          <cell r="B24" t="str">
            <v>E9515</v>
          </cell>
          <cell r="C24" t="str">
            <v>Escavadeira hidráulica sobre esteira com caçamba com capacidade de 1,50 m³ - 110 kW (323 DL-Caterpillar)</v>
          </cell>
          <cell r="E24">
            <v>760470.29169999994</v>
          </cell>
        </row>
        <row r="25">
          <cell r="A25" t="str">
            <v>DNIT –</v>
          </cell>
          <cell r="B25" t="str">
            <v>E9517</v>
          </cell>
          <cell r="C25" t="str">
            <v>Compressor de ar portátil de 912 PCM - 184 kW (XAS 430CUd - Atlas Copco)</v>
          </cell>
          <cell r="E25">
            <v>404955.60979999998</v>
          </cell>
        </row>
        <row r="26">
          <cell r="A26" t="str">
            <v>DNIT –</v>
          </cell>
          <cell r="B26" t="str">
            <v>E9518</v>
          </cell>
          <cell r="C26" t="str">
            <v>Grade de 24 discos rebocável de 24" (GAM 24 x 24" - Marchesan)</v>
          </cell>
          <cell r="E26">
            <v>24069.782299999999</v>
          </cell>
        </row>
        <row r="27">
          <cell r="A27" t="str">
            <v>DNIT –</v>
          </cell>
          <cell r="B27" t="str">
            <v>E9519</v>
          </cell>
          <cell r="C27" t="str">
            <v>Betoneira com motor a gasolina e capacidade de 600 l - 10 kW (Menegotti)</v>
          </cell>
          <cell r="E27">
            <v>20994.3806</v>
          </cell>
        </row>
        <row r="28">
          <cell r="A28" t="str">
            <v>DNIT –</v>
          </cell>
          <cell r="B28" t="str">
            <v>E9521</v>
          </cell>
          <cell r="C28" t="str">
            <v>Grupo gerador - 2,5/3 kVA (X 3000 - Pramac)</v>
          </cell>
          <cell r="E28">
            <v>2321.6660000000002</v>
          </cell>
        </row>
        <row r="29">
          <cell r="A29" t="str">
            <v>DNIT –</v>
          </cell>
          <cell r="B29" t="str">
            <v>E9524</v>
          </cell>
          <cell r="C29" t="str">
            <v>Motoniveladora - 93 kW (120K - Caterpillar)</v>
          </cell>
          <cell r="E29">
            <v>786583.40879999998</v>
          </cell>
        </row>
        <row r="30">
          <cell r="A30" t="str">
            <v>DNIT –</v>
          </cell>
          <cell r="B30" t="str">
            <v>E9526</v>
          </cell>
          <cell r="C30" t="str">
            <v>Retroescavadeira de pneus - 58 kW (416E - Caterpillar)</v>
          </cell>
          <cell r="E30">
            <v>285428.11959999998</v>
          </cell>
        </row>
        <row r="31">
          <cell r="A31" t="str">
            <v>DNIT –</v>
          </cell>
          <cell r="B31" t="str">
            <v>E9527</v>
          </cell>
          <cell r="C31" t="str">
            <v>Martelete perfurador/rompedor a ar comprimido de 25 kg (RH 658LS - Atlas Copco)</v>
          </cell>
          <cell r="E31">
            <v>16858.495599999998</v>
          </cell>
        </row>
        <row r="32">
          <cell r="A32" t="str">
            <v>DNIT –</v>
          </cell>
          <cell r="B32" t="str">
            <v>E9530</v>
          </cell>
          <cell r="C32" t="str">
            <v>Rolo compactador liso autopropelido vibratório de 11 t - 97 kW</v>
          </cell>
          <cell r="E32">
            <v>429079.65539999999</v>
          </cell>
        </row>
        <row r="33">
          <cell r="A33" t="str">
            <v>DNIT –</v>
          </cell>
          <cell r="B33" t="str">
            <v>E9531</v>
          </cell>
          <cell r="C33" t="str">
            <v>Equipamento de sondagem a percussão com motobomba - 2,5 kW</v>
          </cell>
          <cell r="E33">
            <v>25131.31</v>
          </cell>
        </row>
        <row r="34">
          <cell r="A34" t="str">
            <v>DNIT –</v>
          </cell>
          <cell r="B34" t="str">
            <v>E9533</v>
          </cell>
          <cell r="C34" t="str">
            <v>Sonda rotativa com motor, bombas, mastro e cabeçote - 20 kW</v>
          </cell>
          <cell r="E34">
            <v>153642.00769999999</v>
          </cell>
        </row>
        <row r="35">
          <cell r="A35" t="str">
            <v>DNIT –</v>
          </cell>
          <cell r="B35" t="str">
            <v>E9535</v>
          </cell>
          <cell r="C35" t="str">
            <v>Serra circular com bancada - D = 30 cm - 4 kW (SCCC - Maksiwa)</v>
          </cell>
          <cell r="E35">
            <v>5193.0589</v>
          </cell>
        </row>
        <row r="36">
          <cell r="A36" t="str">
            <v>DNIT –</v>
          </cell>
          <cell r="B36" t="str">
            <v>E9537</v>
          </cell>
          <cell r="C36" t="str">
            <v>Carregadeira de pneus com capacidade de 1,72 m³ - 113 kW (W20E - Case Construction)</v>
          </cell>
          <cell r="E36">
            <v>352021.43849999999</v>
          </cell>
        </row>
        <row r="37">
          <cell r="A37" t="str">
            <v>DNIT –</v>
          </cell>
          <cell r="B37" t="str">
            <v>E9540</v>
          </cell>
          <cell r="C37" t="str">
            <v>Trator de esteiras com lâmina - 112 kW (D6N - Caterpillar)</v>
          </cell>
          <cell r="E37">
            <v>966685.7598</v>
          </cell>
        </row>
        <row r="38">
          <cell r="A38" t="str">
            <v>DNIT –</v>
          </cell>
          <cell r="B38" t="str">
            <v>E9541</v>
          </cell>
          <cell r="C38" t="str">
            <v>Trator de esteiras com lâmina - 259 kW (D8T - Caterpillar)</v>
          </cell>
          <cell r="E38">
            <v>2552267.2969999998</v>
          </cell>
        </row>
        <row r="39">
          <cell r="A39" t="str">
            <v>DNIT –</v>
          </cell>
          <cell r="B39" t="str">
            <v>E9547</v>
          </cell>
          <cell r="C39" t="str">
            <v>Máquina para solda elétrica - 9,2 kW (Bantam 250 - Esab)</v>
          </cell>
          <cell r="E39">
            <v>495.99200000000002</v>
          </cell>
        </row>
        <row r="40">
          <cell r="A40" t="str">
            <v>DNIT –</v>
          </cell>
          <cell r="B40" t="str">
            <v>E9568</v>
          </cell>
          <cell r="C40" t="str">
            <v>Furadeira de impacto de 12,5 mm - 0,8 kW</v>
          </cell>
          <cell r="E40">
            <v>1175.4096999999999</v>
          </cell>
        </row>
        <row r="41">
          <cell r="A41" t="str">
            <v>DNIT –</v>
          </cell>
          <cell r="B41" t="str">
            <v>E9571</v>
          </cell>
          <cell r="C41" t="str">
            <v>Caminhão tanque com capacidade de 10.000 l - 188 kW (Atego 2426 - Mercedes-Benz)</v>
          </cell>
        </row>
        <row r="42">
          <cell r="B42" t="str">
            <v>A9311</v>
          </cell>
          <cell r="C42" t="str">
            <v>Caminhão plataforma 6 x 2, PBT 24.100 kg e distância entre eixos 4,8 m - 188 kW - Motorista de caminhão</v>
          </cell>
          <cell r="E42">
            <v>442100.94209999999</v>
          </cell>
        </row>
        <row r="43">
          <cell r="B43" t="str">
            <v>A9360</v>
          </cell>
          <cell r="C43" t="str">
            <v>Tanque para transporte de água com capacidade de 10.000 l</v>
          </cell>
          <cell r="E43">
            <v>80124.037299999996</v>
          </cell>
        </row>
        <row r="44">
          <cell r="A44" t="str">
            <v>DNIT –</v>
          </cell>
          <cell r="B44" t="str">
            <v>E9574</v>
          </cell>
          <cell r="C44" t="str">
            <v>Perfuratriz sobre esteiras - 145 kW (Power Roc T35 - Atlas Copco)</v>
          </cell>
          <cell r="E44">
            <v>2621312.449</v>
          </cell>
        </row>
        <row r="45">
          <cell r="A45" t="str">
            <v>DNIT –</v>
          </cell>
          <cell r="B45" t="str">
            <v>E9576</v>
          </cell>
          <cell r="C45" t="str">
            <v>Escavadeira hidráulica de longo alcance sobre esteiras - 103 kW (320 DL - Caterpillar)</v>
          </cell>
          <cell r="E45">
            <v>667790.8186</v>
          </cell>
        </row>
        <row r="46">
          <cell r="A46" t="str">
            <v>DNIT –</v>
          </cell>
          <cell r="B46" t="str">
            <v>E9577</v>
          </cell>
          <cell r="C46" t="str">
            <v>Trator agrícola - 77 kW (MF 4292 - Massey Ferguson)</v>
          </cell>
          <cell r="E46">
            <v>174897.31700000001</v>
          </cell>
        </row>
        <row r="47">
          <cell r="A47" t="str">
            <v>DNIT –</v>
          </cell>
          <cell r="B47" t="str">
            <v>E9579</v>
          </cell>
          <cell r="C47" t="str">
            <v>Caminhão basculante com capacidade de 10 m³ - 188 kW (Atron 2729  - Mercedes-Benz)</v>
          </cell>
        </row>
        <row r="48">
          <cell r="B48" t="str">
            <v>A9316</v>
          </cell>
          <cell r="C48" t="str">
            <v>Caminhão plataforma 8 x 2, PBT 29.000 kg e distância entre eixos 4,8 m - 188 kW - Motorista de caminhão</v>
          </cell>
          <cell r="E48">
            <v>388015.12310000003</v>
          </cell>
        </row>
        <row r="49">
          <cell r="B49" t="str">
            <v>A9342</v>
          </cell>
          <cell r="C49" t="str">
            <v>Caçamba basculante com capacidade de 10 m³</v>
          </cell>
          <cell r="E49">
            <v>42797.384700000002</v>
          </cell>
        </row>
        <row r="50">
          <cell r="A50" t="str">
            <v>DNIT –</v>
          </cell>
          <cell r="B50" t="str">
            <v>E9592</v>
          </cell>
          <cell r="C50" t="str">
            <v>Caminhão carroceria com capacidade de 15 t - 188 kW (Atego 2426 - Mercedes-Benz)</v>
          </cell>
        </row>
        <row r="51">
          <cell r="B51" t="str">
            <v>A9314</v>
          </cell>
          <cell r="C51" t="str">
            <v>Caminhão plataforma 6 x 2, PBT 24.100 kg e distância entre eixos 5,4 m - 188 kW - Motorista de caminhão</v>
          </cell>
          <cell r="E51">
            <v>447747.1568</v>
          </cell>
        </row>
        <row r="52">
          <cell r="B52" t="str">
            <v>A9352</v>
          </cell>
          <cell r="C52" t="str">
            <v>Carroceria de madeira com capacidade de 15 t</v>
          </cell>
          <cell r="E52">
            <v>20877.669999999998</v>
          </cell>
        </row>
        <row r="53">
          <cell r="A53" t="str">
            <v>DNIT –</v>
          </cell>
          <cell r="B53" t="str">
            <v>E9622</v>
          </cell>
          <cell r="C53" t="str">
            <v>Máquina de bancada universal para corte de chapa - 1,5 Kw</v>
          </cell>
          <cell r="E53">
            <v>44437.845500000003</v>
          </cell>
        </row>
        <row r="54">
          <cell r="A54" t="str">
            <v>DNIT –</v>
          </cell>
          <cell r="B54" t="str">
            <v>E9623</v>
          </cell>
          <cell r="C54" t="str">
            <v>Máquina de Bancada - guilhotina (4 kW)</v>
          </cell>
          <cell r="E54">
            <v>97639.093999999997</v>
          </cell>
        </row>
        <row r="55">
          <cell r="A55" t="str">
            <v>DNIT –</v>
          </cell>
          <cell r="B55" t="str">
            <v>E9647</v>
          </cell>
          <cell r="C55" t="str">
            <v>Compactador manual com soquete vibratório - 4,1 kW (CP-80 - Fortemac)</v>
          </cell>
          <cell r="E55">
            <v>9771.7648000000008</v>
          </cell>
        </row>
        <row r="56">
          <cell r="A56" t="str">
            <v>DNIT –</v>
          </cell>
          <cell r="B56" t="str">
            <v>E9666</v>
          </cell>
          <cell r="C56" t="str">
            <v>Cavalo mecânico com semi-reboque e capacidade de 30 t - 240 kW (Axor 2041 - Mercedes-Benz / Randon)</v>
          </cell>
        </row>
        <row r="57">
          <cell r="B57" t="str">
            <v>A9318</v>
          </cell>
          <cell r="C57" t="str">
            <v>Cavalo mecânico 4 x 2, PBT 16.000 kg - 240 kW - Motorista de veículo especial</v>
          </cell>
          <cell r="E57">
            <v>516209.90429999999</v>
          </cell>
        </row>
        <row r="58">
          <cell r="B58" t="str">
            <v>A9354</v>
          </cell>
          <cell r="C58" t="str">
            <v>Semi-Reboque com 3 eixos</v>
          </cell>
          <cell r="E58">
            <v>210630</v>
          </cell>
        </row>
        <row r="59">
          <cell r="A59" t="str">
            <v>DNIT –</v>
          </cell>
          <cell r="B59" t="str">
            <v>E9667</v>
          </cell>
          <cell r="C59" t="str">
            <v>Caminhão basculante com capacidade de 14 m³ - 323 kW</v>
          </cell>
        </row>
        <row r="60">
          <cell r="B60" t="str">
            <v>A9323</v>
          </cell>
          <cell r="C60" t="str">
            <v>Caminhão basc. fora de estrada 6x4, PBT 31.500kg, distância entre eixos 3,6m - 323 kW - Motorista de caminhão</v>
          </cell>
          <cell r="E60">
            <v>342566.83299999998</v>
          </cell>
        </row>
        <row r="61">
          <cell r="B61" t="str">
            <v>A9344</v>
          </cell>
          <cell r="C61" t="str">
            <v>Caçamba basculante com capacidade de 14 m³</v>
          </cell>
          <cell r="E61">
            <v>48499.329400000002</v>
          </cell>
        </row>
        <row r="62">
          <cell r="A62" t="str">
            <v>DNIT –</v>
          </cell>
          <cell r="B62" t="str">
            <v>E9684</v>
          </cell>
          <cell r="C62" t="str">
            <v>Veículo leve Pick Up 4 x 4 - 147 kW (S10 - Chevrolet 4 x 4 - Cabine Dupla)</v>
          </cell>
          <cell r="E62">
            <v>189545.7965</v>
          </cell>
        </row>
        <row r="63">
          <cell r="A63" t="str">
            <v>DNIT –</v>
          </cell>
          <cell r="B63" t="str">
            <v>E9685</v>
          </cell>
          <cell r="C63" t="str">
            <v>Rolo compactador pé de carneiro vibratório autopropelido de 11,6 t - 82 kW (CA 250 D - Dynapac)</v>
          </cell>
          <cell r="E63">
            <v>500742.10979999998</v>
          </cell>
        </row>
        <row r="64">
          <cell r="A64" t="str">
            <v>DNIT –</v>
          </cell>
          <cell r="B64" t="str">
            <v>E9686</v>
          </cell>
          <cell r="C64" t="str">
            <v>Caminhão carroceria com guindauto com capacidade de 20 t.m - 136 kW</v>
          </cell>
        </row>
        <row r="65">
          <cell r="B65" t="str">
            <v>A9308</v>
          </cell>
          <cell r="C65" t="str">
            <v>Caminhão plataforma 4 x 2, PBT 17.100 kg e distância entre eixos 4,8 m - 136 kW - Motorista de veículo especial</v>
          </cell>
          <cell r="E65">
            <v>402510.05359999998</v>
          </cell>
        </row>
        <row r="66">
          <cell r="B66" t="str">
            <v>A9372</v>
          </cell>
          <cell r="C66" t="str">
            <v>Guindaste articulado montado sobre chassi com capacidade de 20 t.m</v>
          </cell>
          <cell r="E66">
            <v>100124.5983</v>
          </cell>
        </row>
        <row r="67">
          <cell r="B67" t="str">
            <v>A9349</v>
          </cell>
          <cell r="C67" t="str">
            <v>Carroceria de madeira com capacidade de 7 t</v>
          </cell>
          <cell r="E67">
            <v>16248.6</v>
          </cell>
        </row>
        <row r="68">
          <cell r="A68" t="str">
            <v>DNIT –</v>
          </cell>
          <cell r="B68" t="str">
            <v>E9687</v>
          </cell>
          <cell r="C68" t="str">
            <v>Caminhão carroceria com capacidade de 5 t - 115 Kw (Accelo 815 - Mercedes-Benz</v>
          </cell>
        </row>
        <row r="69">
          <cell r="B69" t="str">
            <v>A9303</v>
          </cell>
          <cell r="C69" t="str">
            <v>Caminhão plataforma 4 x 2, PBT 9.600 kg e distância entre eixos 3,7 m - 115 kW - Motorista de veículo especial</v>
          </cell>
          <cell r="E69">
            <v>289406.8653</v>
          </cell>
        </row>
        <row r="70">
          <cell r="B70" t="str">
            <v>A9348</v>
          </cell>
          <cell r="C70" t="str">
            <v>Carroceria de madeira com capacidade de 5 t</v>
          </cell>
          <cell r="E70">
            <v>14307.0427</v>
          </cell>
        </row>
        <row r="71">
          <cell r="A71" t="str">
            <v>DNIT –</v>
          </cell>
          <cell r="B71" t="str">
            <v>E9762</v>
          </cell>
          <cell r="C71" t="str">
            <v>Rolo compactador de pneus autopropelido de 27 t - 85 kW</v>
          </cell>
          <cell r="E71">
            <v>529427.90980000002</v>
          </cell>
        </row>
        <row r="73">
          <cell r="C73" t="str">
            <v>Mão de obra (COM DESONERAÇÃO)</v>
          </cell>
        </row>
        <row r="87">
          <cell r="B87" t="str">
            <v>P9843</v>
          </cell>
          <cell r="C87" t="str">
            <v>Operador de equipamento leve</v>
          </cell>
          <cell r="E87">
            <v>19.903300000000002</v>
          </cell>
        </row>
        <row r="88">
          <cell r="B88" t="str">
            <v>P9845</v>
          </cell>
          <cell r="C88" t="str">
            <v>Operador de equipamento pesado</v>
          </cell>
          <cell r="E88">
            <v>26.764600000000002</v>
          </cell>
        </row>
        <row r="91">
          <cell r="B91" t="str">
            <v>P9866</v>
          </cell>
          <cell r="C91" t="str">
            <v>Motorista de caminhão</v>
          </cell>
          <cell r="E91">
            <v>24.1953</v>
          </cell>
        </row>
        <row r="92">
          <cell r="B92" t="str">
            <v>P9870</v>
          </cell>
          <cell r="C92" t="str">
            <v>Motorista de veículo leve</v>
          </cell>
          <cell r="E92">
            <v>21.675799999999999</v>
          </cell>
        </row>
        <row r="93">
          <cell r="B93" t="str">
            <v>P9871</v>
          </cell>
          <cell r="C93" t="str">
            <v>Motorista de veículo especial</v>
          </cell>
          <cell r="E93">
            <v>28.2547</v>
          </cell>
        </row>
        <row r="122">
          <cell r="E122">
            <v>4.0591999999999997</v>
          </cell>
        </row>
        <row r="123">
          <cell r="E123">
            <v>3.2332999999999998</v>
          </cell>
        </row>
        <row r="135">
          <cell r="E135">
            <v>0.92110000000000003</v>
          </cell>
        </row>
      </sheetData>
      <sheetData sheetId="2">
        <row r="6">
          <cell r="L6">
            <v>4.5830000000000003E-2</v>
          </cell>
        </row>
      </sheetData>
      <sheetData sheetId="3"/>
      <sheetData sheetId="4">
        <row r="36">
          <cell r="E36">
            <v>10000</v>
          </cell>
        </row>
      </sheetData>
      <sheetData sheetId="5">
        <row r="28">
          <cell r="P28">
            <v>12.15</v>
          </cell>
        </row>
        <row r="107">
          <cell r="I107">
            <v>0</v>
          </cell>
          <cell r="J107">
            <v>0</v>
          </cell>
        </row>
        <row r="108">
          <cell r="I108">
            <v>33</v>
          </cell>
          <cell r="J108">
            <v>8</v>
          </cell>
        </row>
        <row r="109">
          <cell r="I109">
            <v>0</v>
          </cell>
          <cell r="J109">
            <v>0</v>
          </cell>
        </row>
        <row r="110">
          <cell r="I110">
            <v>36</v>
          </cell>
          <cell r="J110">
            <v>8</v>
          </cell>
        </row>
        <row r="111">
          <cell r="I111">
            <v>0</v>
          </cell>
          <cell r="J111">
            <v>0</v>
          </cell>
          <cell r="N111">
            <v>7855.12</v>
          </cell>
        </row>
        <row r="112">
          <cell r="I112">
            <v>0</v>
          </cell>
          <cell r="J112">
            <v>0</v>
          </cell>
          <cell r="N112">
            <v>0</v>
          </cell>
        </row>
        <row r="113">
          <cell r="I113">
            <v>0</v>
          </cell>
          <cell r="J113">
            <v>0</v>
          </cell>
          <cell r="N113">
            <v>0</v>
          </cell>
        </row>
        <row r="114">
          <cell r="I114">
            <v>0</v>
          </cell>
          <cell r="J114">
            <v>0</v>
          </cell>
          <cell r="N114">
            <v>30975</v>
          </cell>
        </row>
        <row r="115">
          <cell r="I115">
            <v>0</v>
          </cell>
          <cell r="J115">
            <v>0</v>
          </cell>
          <cell r="N115">
            <v>0</v>
          </cell>
        </row>
        <row r="116">
          <cell r="I116">
            <v>63</v>
          </cell>
          <cell r="J116">
            <v>14</v>
          </cell>
          <cell r="N116">
            <v>0</v>
          </cell>
        </row>
        <row r="117">
          <cell r="I117">
            <v>0</v>
          </cell>
          <cell r="J117">
            <v>0</v>
          </cell>
          <cell r="N117">
            <v>0</v>
          </cell>
        </row>
        <row r="118">
          <cell r="I118">
            <v>0</v>
          </cell>
          <cell r="J118">
            <v>0</v>
          </cell>
          <cell r="N118">
            <v>0</v>
          </cell>
        </row>
        <row r="119">
          <cell r="I119">
            <v>0</v>
          </cell>
          <cell r="J119">
            <v>0</v>
          </cell>
          <cell r="N119">
            <v>0</v>
          </cell>
        </row>
        <row r="120">
          <cell r="I120">
            <v>0</v>
          </cell>
          <cell r="J120">
            <v>0</v>
          </cell>
          <cell r="N120">
            <v>0</v>
          </cell>
        </row>
        <row r="121">
          <cell r="I121">
            <v>0</v>
          </cell>
          <cell r="J121">
            <v>0</v>
          </cell>
        </row>
        <row r="122">
          <cell r="E122">
            <v>8</v>
          </cell>
          <cell r="I122">
            <v>0</v>
          </cell>
          <cell r="J122">
            <v>0</v>
          </cell>
          <cell r="N122">
            <v>0</v>
          </cell>
        </row>
        <row r="123">
          <cell r="E123">
            <v>4</v>
          </cell>
          <cell r="I123">
            <v>0</v>
          </cell>
          <cell r="J123">
            <v>0</v>
          </cell>
        </row>
        <row r="124">
          <cell r="E124">
            <v>0</v>
          </cell>
          <cell r="I124">
            <v>0</v>
          </cell>
          <cell r="J124">
            <v>0</v>
          </cell>
        </row>
        <row r="125">
          <cell r="I125">
            <v>0</v>
          </cell>
        </row>
        <row r="126">
          <cell r="I126">
            <v>0</v>
          </cell>
        </row>
        <row r="127">
          <cell r="I127">
            <v>0</v>
          </cell>
        </row>
        <row r="128">
          <cell r="E128">
            <v>6.3</v>
          </cell>
          <cell r="I128">
            <v>0</v>
          </cell>
        </row>
        <row r="131">
          <cell r="L131">
            <v>4</v>
          </cell>
        </row>
        <row r="135">
          <cell r="E135">
            <v>6</v>
          </cell>
          <cell r="L135">
            <v>2</v>
          </cell>
        </row>
        <row r="136">
          <cell r="E136">
            <v>0.1</v>
          </cell>
        </row>
        <row r="137">
          <cell r="E137">
            <v>1</v>
          </cell>
        </row>
        <row r="140">
          <cell r="E140">
            <v>200</v>
          </cell>
        </row>
      </sheetData>
      <sheetData sheetId="6">
        <row r="4">
          <cell r="E4">
            <v>0</v>
          </cell>
        </row>
        <row r="16">
          <cell r="A16" t="str">
            <v>I</v>
          </cell>
          <cell r="B16" t="str">
            <v>- SERVIÇOS PRELIMINARES, MOBILIZAÇÃO E INSTALAÇÃO DE CANTEIRO</v>
          </cell>
        </row>
        <row r="23">
          <cell r="A23" t="str">
            <v>II</v>
          </cell>
          <cell r="B23" t="str">
            <v>- ELABORAÇÃO DE PROJETOS, ESTUDOS TÉCNICOS E TOPOGRAFIA</v>
          </cell>
        </row>
        <row r="26">
          <cell r="J26">
            <v>10</v>
          </cell>
        </row>
        <row r="27">
          <cell r="J27">
            <v>50</v>
          </cell>
        </row>
        <row r="28">
          <cell r="J28">
            <v>200</v>
          </cell>
        </row>
        <row r="29">
          <cell r="J29">
            <v>1000</v>
          </cell>
        </row>
        <row r="39">
          <cell r="A39" t="str">
            <v>III</v>
          </cell>
          <cell r="B39" t="str">
            <v>- ADMINISTRAÇÃO LOCAL E SEGURANÇA</v>
          </cell>
        </row>
        <row r="43">
          <cell r="A43" t="str">
            <v>IV</v>
          </cell>
          <cell r="B43" t="str">
            <v>- DESMATAMENTO E LIMPEZA</v>
          </cell>
        </row>
        <row r="53">
          <cell r="A53" t="str">
            <v>V</v>
          </cell>
          <cell r="B53" t="str">
            <v>- TERRAPLENAGEM</v>
          </cell>
        </row>
        <row r="82">
          <cell r="A82" t="str">
            <v>VI</v>
          </cell>
          <cell r="B82" t="str">
            <v>- OBRAS DE ARTES CORRENTES</v>
          </cell>
        </row>
        <row r="126">
          <cell r="A126" t="str">
            <v>VII</v>
          </cell>
          <cell r="B126" t="str">
            <v>- OBRAS DE ARTES ESPECIAIS, SINALIZAÇÕES E MATA BURRO</v>
          </cell>
          <cell r="N126">
            <v>0</v>
          </cell>
        </row>
        <row r="145">
          <cell r="B145" t="str">
            <v>- REVESTIMENTO PRIMÁRIO</v>
          </cell>
        </row>
        <row r="156">
          <cell r="B156" t="str">
            <v>- RECUPERAÇÃO AMBIENTAL DE ÁREA DE EMPRÉSTIMO</v>
          </cell>
        </row>
      </sheetData>
      <sheetData sheetId="7">
        <row r="6">
          <cell r="E6">
            <v>120</v>
          </cell>
        </row>
      </sheetData>
      <sheetData sheetId="8">
        <row r="10">
          <cell r="B10">
            <v>0</v>
          </cell>
        </row>
      </sheetData>
      <sheetData sheetId="9">
        <row r="8">
          <cell r="B8">
            <v>5914404</v>
          </cell>
        </row>
      </sheetData>
      <sheetData sheetId="10">
        <row r="34">
          <cell r="I34">
            <v>0.25569999999999998</v>
          </cell>
        </row>
      </sheetData>
      <sheetData sheetId="11">
        <row r="7">
          <cell r="L7" t="str">
            <v>1.1</v>
          </cell>
        </row>
        <row r="18">
          <cell r="E18" t="str">
            <v>Mobilização e desmobilização de pessoal, máquinas e equipamentos</v>
          </cell>
          <cell r="L18" t="str">
            <v>un</v>
          </cell>
        </row>
        <row r="121">
          <cell r="L121">
            <v>5334.23</v>
          </cell>
        </row>
      </sheetData>
      <sheetData sheetId="12">
        <row r="7">
          <cell r="L7" t="str">
            <v>1.2</v>
          </cell>
        </row>
        <row r="18">
          <cell r="E18" t="str">
            <v>Abrigo provisório de madeira executado na obra para alojamento e depósito de materiais e ferramentas</v>
          </cell>
          <cell r="L18" t="str">
            <v>m²</v>
          </cell>
        </row>
        <row r="86">
          <cell r="L86">
            <v>546.58000000000004</v>
          </cell>
        </row>
      </sheetData>
      <sheetData sheetId="13">
        <row r="18">
          <cell r="E18" t="str">
            <v>Instalações de campo e alojamento.</v>
          </cell>
          <cell r="L18" t="str">
            <v>mês</v>
          </cell>
        </row>
        <row r="63">
          <cell r="L63">
            <v>2273.02</v>
          </cell>
        </row>
      </sheetData>
      <sheetData sheetId="14">
        <row r="18">
          <cell r="E18" t="str">
            <v>Placa de obra em chapa de aço galvanizado, no tamanho de (2,00 m x 3,20 m)</v>
          </cell>
          <cell r="L18" t="str">
            <v>m²</v>
          </cell>
        </row>
        <row r="70">
          <cell r="L70">
            <v>401.28</v>
          </cell>
        </row>
      </sheetData>
      <sheetData sheetId="15">
        <row r="7">
          <cell r="L7" t="str">
            <v>1.5</v>
          </cell>
        </row>
        <row r="69">
          <cell r="L69">
            <v>0</v>
          </cell>
        </row>
      </sheetData>
      <sheetData sheetId="16">
        <row r="7">
          <cell r="L7" t="str">
            <v>2.1</v>
          </cell>
        </row>
        <row r="18">
          <cell r="E18" t="str">
            <v>Elaboração de estudos ambientais simplificados para complementação das estradas vicinais e uso de jazidas de materiais lateríticos e do Plano de Recuperação de Área Degradada - PRAD, objetivando a exploração de jazidas e sua posterior recuperação ambiental, elaborados por profissionais devidamente habilitados, com ART e apresentação do licenciamento ambiental necessário, expedido pelo órgão competente (Verificar a recomendação na observação e os índices das taxas dessa composição)</v>
          </cell>
          <cell r="L18" t="str">
            <v>km</v>
          </cell>
        </row>
        <row r="66">
          <cell r="L66">
            <v>557.01</v>
          </cell>
        </row>
      </sheetData>
      <sheetData sheetId="17">
        <row r="7">
          <cell r="L7" t="str">
            <v>2.2</v>
          </cell>
        </row>
        <row r="18">
          <cell r="E18" t="str">
            <v>Elaboração de projeto de estradas vicinais (contemplando serviços de locação e levantamento do eixo da estrada, nivelamento do terreno natural, lançamento da linha de greide, perfil longitudinal, seções transversais, expedição de notas de serviços, locação de jazidas, cálculo de DMTs, drenagem, dimensionamento e locação das obras de arte corrente e serviços complementares, de modo a atender integralmente o disposto na Norma de Execução / Incra / DD / Nº 117, de 13 de setembro de 2017, em especial, ao seu Art. 13º) - Verificar a informação solicitada e os índices das taxas dessa composição</v>
          </cell>
          <cell r="L18" t="str">
            <v>km</v>
          </cell>
        </row>
        <row r="63">
          <cell r="L63">
            <v>4426.43</v>
          </cell>
        </row>
      </sheetData>
      <sheetData sheetId="18">
        <row r="7">
          <cell r="L7" t="str">
            <v>2.3</v>
          </cell>
        </row>
        <row r="18">
          <cell r="E18" t="str">
            <v>Elaboração de projeto estrutural de ponte em concreto armado (incluso o dimensionamento da fundação; não contempla a sondagem, a topografia e o estudo hidrológico). Verificar os índices das taxas dessa composição.</v>
          </cell>
          <cell r="L18" t="str">
            <v>m²</v>
          </cell>
        </row>
        <row r="52">
          <cell r="H52">
            <v>38.238908681013498</v>
          </cell>
        </row>
        <row r="53">
          <cell r="F53">
            <v>0.08</v>
          </cell>
          <cell r="H53">
            <v>40.798908681013501</v>
          </cell>
        </row>
        <row r="54">
          <cell r="F54">
            <v>0.04</v>
          </cell>
          <cell r="H54">
            <v>38.238908681013498</v>
          </cell>
        </row>
        <row r="55">
          <cell r="F55">
            <v>1.2999999999999999E-2</v>
          </cell>
          <cell r="H55">
            <v>34.782908681013502</v>
          </cell>
        </row>
        <row r="56">
          <cell r="F56">
            <v>8.0000000000000002E-3</v>
          </cell>
          <cell r="H56">
            <v>33.502908681013501</v>
          </cell>
        </row>
        <row r="57">
          <cell r="F57">
            <v>4.0000000000000001E-3</v>
          </cell>
          <cell r="H57">
            <v>31.454908681013499</v>
          </cell>
        </row>
      </sheetData>
      <sheetData sheetId="19">
        <row r="7">
          <cell r="L7" t="str">
            <v>2.4</v>
          </cell>
        </row>
        <row r="18">
          <cell r="E18" t="str">
            <v>Serviços geotécnicos (sondagem) em material de 1ª categoria</v>
          </cell>
          <cell r="L18" t="str">
            <v>m</v>
          </cell>
        </row>
        <row r="69">
          <cell r="L69">
            <v>378.26</v>
          </cell>
        </row>
      </sheetData>
      <sheetData sheetId="20">
        <row r="7">
          <cell r="L7" t="str">
            <v>2.5</v>
          </cell>
        </row>
        <row r="18">
          <cell r="E18" t="str">
            <v>Serviços geotécnicos (sondagem) em material de 2ª categoria</v>
          </cell>
          <cell r="L18" t="str">
            <v>m</v>
          </cell>
        </row>
        <row r="69">
          <cell r="L69">
            <v>586.37</v>
          </cell>
        </row>
      </sheetData>
      <sheetData sheetId="21">
        <row r="7">
          <cell r="L7" t="str">
            <v>2.6</v>
          </cell>
        </row>
        <row r="18">
          <cell r="E18" t="str">
            <v>Serviços geotécnicos (sondagem) em material de 3ª categoria</v>
          </cell>
          <cell r="L18" t="str">
            <v>m</v>
          </cell>
        </row>
        <row r="69">
          <cell r="L69">
            <v>508.14</v>
          </cell>
        </row>
      </sheetData>
      <sheetData sheetId="22">
        <row r="7">
          <cell r="L7" t="str">
            <v>2.7</v>
          </cell>
        </row>
        <row r="18">
          <cell r="E18" t="str">
            <v>Hidrologia e projeto hidráulico de pontes. (Verificar os índices das taxas dessa composição).</v>
          </cell>
          <cell r="L18" t="str">
            <v>un</v>
          </cell>
        </row>
        <row r="52">
          <cell r="L52">
            <v>6844.66</v>
          </cell>
        </row>
      </sheetData>
      <sheetData sheetId="23">
        <row r="7">
          <cell r="L7" t="str">
            <v>2.8</v>
          </cell>
        </row>
        <row r="18">
          <cell r="E18" t="str">
            <v>Levantamento topográfico para elaboração de projeto de ponte. (Verificar os índices das taxas dessa composição).</v>
          </cell>
          <cell r="L18" t="str">
            <v>ha</v>
          </cell>
        </row>
        <row r="67">
          <cell r="L67">
            <v>2112.91</v>
          </cell>
        </row>
      </sheetData>
      <sheetData sheetId="24">
        <row r="7">
          <cell r="L7" t="str">
            <v>2.9</v>
          </cell>
        </row>
        <row r="69">
          <cell r="L69">
            <v>0</v>
          </cell>
        </row>
      </sheetData>
      <sheetData sheetId="25">
        <row r="7">
          <cell r="L7" t="str">
            <v>2.10</v>
          </cell>
        </row>
        <row r="69">
          <cell r="L69">
            <v>0</v>
          </cell>
        </row>
      </sheetData>
      <sheetData sheetId="26">
        <row r="7">
          <cell r="L7" t="str">
            <v>2.11</v>
          </cell>
        </row>
        <row r="69">
          <cell r="L69">
            <v>0</v>
          </cell>
        </row>
      </sheetData>
      <sheetData sheetId="27">
        <row r="7">
          <cell r="L7" t="str">
            <v>3.1</v>
          </cell>
        </row>
        <row r="18">
          <cell r="E18" t="str">
            <v>Administração Local</v>
          </cell>
          <cell r="L18" t="str">
            <v>mês</v>
          </cell>
        </row>
        <row r="67">
          <cell r="L67">
            <v>21788.03</v>
          </cell>
        </row>
      </sheetData>
      <sheetData sheetId="28">
        <row r="7">
          <cell r="L7" t="str">
            <v>3.2</v>
          </cell>
        </row>
        <row r="69">
          <cell r="L69">
            <v>0</v>
          </cell>
        </row>
      </sheetData>
      <sheetData sheetId="29">
        <row r="7">
          <cell r="L7" t="str">
            <v>4.1</v>
          </cell>
        </row>
        <row r="18">
          <cell r="E18" t="str">
            <v>Desmatamento e limpeza mecanizada de terreno com remoção de camada vegetal, utilizando trator esteiras</v>
          </cell>
          <cell r="L18" t="str">
            <v>m²</v>
          </cell>
        </row>
        <row r="66">
          <cell r="L66">
            <v>0.2</v>
          </cell>
        </row>
      </sheetData>
      <sheetData sheetId="30">
        <row r="7">
          <cell r="L7" t="str">
            <v>4.2</v>
          </cell>
        </row>
        <row r="18">
          <cell r="E18" t="str">
            <v>Desmatamento,  destocamento e limpeza em áreas com árvores de diâmetro até 0,15 m</v>
          </cell>
          <cell r="L18" t="str">
            <v>m²</v>
          </cell>
        </row>
        <row r="66">
          <cell r="L66">
            <v>0.26</v>
          </cell>
        </row>
      </sheetData>
      <sheetData sheetId="31">
        <row r="7">
          <cell r="L7" t="str">
            <v>4.3</v>
          </cell>
        </row>
        <row r="18">
          <cell r="E18" t="str">
            <v>Desmatamento,  destocamento e limpeza em áreas com árvores de diâmetro maiores que 0,15 m</v>
          </cell>
          <cell r="L18" t="str">
            <v>m²</v>
          </cell>
        </row>
        <row r="66">
          <cell r="L66">
            <v>0.59</v>
          </cell>
        </row>
      </sheetData>
      <sheetData sheetId="32">
        <row r="7">
          <cell r="L7" t="str">
            <v>4.4</v>
          </cell>
        </row>
        <row r="18">
          <cell r="E18" t="str">
            <v>Destocamento de árvores com diâmetros entre 0,15 a 0,30 m</v>
          </cell>
          <cell r="L18" t="str">
            <v>un</v>
          </cell>
        </row>
        <row r="66">
          <cell r="L66">
            <v>23.4</v>
          </cell>
        </row>
      </sheetData>
      <sheetData sheetId="33">
        <row r="7">
          <cell r="L7" t="str">
            <v>4.5</v>
          </cell>
        </row>
        <row r="18">
          <cell r="E18" t="str">
            <v>Destocamento de árvores com diâmetro superior a 0,30 m</v>
          </cell>
          <cell r="L18" t="str">
            <v>un</v>
          </cell>
        </row>
        <row r="66">
          <cell r="L66">
            <v>75.02</v>
          </cell>
        </row>
      </sheetData>
      <sheetData sheetId="34">
        <row r="7">
          <cell r="L7" t="str">
            <v>4.6</v>
          </cell>
        </row>
        <row r="69">
          <cell r="L69">
            <v>0</v>
          </cell>
        </row>
      </sheetData>
      <sheetData sheetId="35">
        <row r="7">
          <cell r="L7" t="str">
            <v>4.7</v>
          </cell>
        </row>
        <row r="69">
          <cell r="L69">
            <v>0</v>
          </cell>
        </row>
      </sheetData>
      <sheetData sheetId="36">
        <row r="7">
          <cell r="L7" t="str">
            <v>4.8</v>
          </cell>
        </row>
        <row r="69">
          <cell r="L69">
            <v>0</v>
          </cell>
        </row>
      </sheetData>
      <sheetData sheetId="37">
        <row r="6">
          <cell r="L6" t="str">
            <v>INCRA C</v>
          </cell>
        </row>
        <row r="7">
          <cell r="L7" t="str">
            <v>5.1</v>
          </cell>
        </row>
        <row r="18">
          <cell r="E18" t="str">
            <v>Escavação, carga e transporte de material  de 1ª categoria (DMT ≤ 50 m), inclusive seção padrão</v>
          </cell>
          <cell r="L18" t="str">
            <v>m³</v>
          </cell>
        </row>
        <row r="66">
          <cell r="L66">
            <v>1.64</v>
          </cell>
        </row>
      </sheetData>
      <sheetData sheetId="38">
        <row r="7">
          <cell r="L7" t="str">
            <v>5.2</v>
          </cell>
        </row>
        <row r="18">
          <cell r="E18" t="str">
            <v>Escavação, carga e transporte de material de 1ª categoria - DMT de 50 a 200 m - caminho de serviço em leito natural - com escavadeira e caminhão basculante de 14 m³</v>
          </cell>
          <cell r="L18" t="str">
            <v>m³</v>
          </cell>
        </row>
        <row r="66">
          <cell r="L66">
            <v>6.02</v>
          </cell>
        </row>
      </sheetData>
      <sheetData sheetId="39">
        <row r="18">
          <cell r="E18" t="str">
            <v>Escavação, carga e transporte de material de 1ª categoria - DMT de 200 a 400 m - caminho de serviço em leito natural - com escavadeira e caminhão basculante de 14 m³</v>
          </cell>
          <cell r="L18" t="str">
            <v>m³</v>
          </cell>
        </row>
        <row r="65">
          <cell r="L65">
            <v>6.91</v>
          </cell>
        </row>
      </sheetData>
      <sheetData sheetId="40">
        <row r="7">
          <cell r="L7" t="str">
            <v>5.4</v>
          </cell>
        </row>
        <row r="18">
          <cell r="E18" t="str">
            <v>Escavação, carga e transporte de material de 1ª categoria - DMT de 400 a 600 m - caminho de serviço em leito natural - com escavadeira e caminhão basculante de 14 m³</v>
          </cell>
          <cell r="L18" t="str">
            <v>m³</v>
          </cell>
        </row>
        <row r="66">
          <cell r="L66">
            <v>7.37</v>
          </cell>
        </row>
      </sheetData>
      <sheetData sheetId="41">
        <row r="7">
          <cell r="L7" t="str">
            <v>5.5</v>
          </cell>
        </row>
        <row r="18">
          <cell r="E18" t="str">
            <v>Escavação, carga e transporte de material de 1ª categoria - DMT de 600 a 800 m - caminho de serviço em leito natural - com escavadeira e caminhão basculante de 14 m³</v>
          </cell>
          <cell r="L18" t="str">
            <v>m³</v>
          </cell>
        </row>
        <row r="66">
          <cell r="L66">
            <v>8.11</v>
          </cell>
        </row>
      </sheetData>
      <sheetData sheetId="42">
        <row r="7">
          <cell r="L7" t="str">
            <v>5.6</v>
          </cell>
        </row>
        <row r="18">
          <cell r="E18" t="str">
            <v>Escavação, carga e transporte de material de 1ª categoria - DMT de 800 a 1.000 m - caminho de serviço em leito natural - com escavadeira e caminhão basculante de 14 m³</v>
          </cell>
          <cell r="L18" t="str">
            <v>m³</v>
          </cell>
        </row>
        <row r="66">
          <cell r="L66">
            <v>8.49</v>
          </cell>
        </row>
      </sheetData>
      <sheetData sheetId="43">
        <row r="7">
          <cell r="L7" t="str">
            <v>5.7</v>
          </cell>
        </row>
        <row r="18">
          <cell r="E18" t="str">
            <v>Escavação, carga e transporte de material  de 2ª categoria (DMT ≤ 50 m)</v>
          </cell>
          <cell r="L18" t="str">
            <v>m³</v>
          </cell>
        </row>
        <row r="66">
          <cell r="L66">
            <v>4.3499999999999996</v>
          </cell>
        </row>
      </sheetData>
      <sheetData sheetId="44">
        <row r="7">
          <cell r="L7" t="str">
            <v>5.8</v>
          </cell>
        </row>
        <row r="18">
          <cell r="E18" t="str">
            <v>Escavação, carga e transporte de material de 2ª categoria - DMT de 50 a 200 m - caminho de serviço em leito natural - com escavadeira e caminhão basculante de 14 m³</v>
          </cell>
          <cell r="L18" t="str">
            <v>m³</v>
          </cell>
        </row>
        <row r="66">
          <cell r="L66">
            <v>8.25</v>
          </cell>
        </row>
      </sheetData>
      <sheetData sheetId="45">
        <row r="7">
          <cell r="L7" t="str">
            <v>5.9</v>
          </cell>
        </row>
        <row r="18">
          <cell r="E18" t="str">
            <v>Escavação, carga e transporte de material de 3ª categoria - DMT de de 0 a 50 m (Expurgo)</v>
          </cell>
          <cell r="L18" t="str">
            <v>m³</v>
          </cell>
        </row>
        <row r="72">
          <cell r="L72">
            <v>52.46</v>
          </cell>
        </row>
      </sheetData>
      <sheetData sheetId="46">
        <row r="7">
          <cell r="L7" t="str">
            <v>5.10</v>
          </cell>
        </row>
        <row r="18">
          <cell r="E18" t="str">
            <v>Escavação e carga de material de jazida com trator de 112 kW e carregadeira de 3,3 m³</v>
          </cell>
          <cell r="L18" t="str">
            <v>m³</v>
          </cell>
        </row>
        <row r="66">
          <cell r="L66">
            <v>3.66</v>
          </cell>
        </row>
      </sheetData>
      <sheetData sheetId="47">
        <row r="7">
          <cell r="L7" t="str">
            <v>5.11</v>
          </cell>
        </row>
        <row r="18">
          <cell r="E18" t="str">
            <v>Transporte com caminhão basculante de 10 m³ - rodovia em leito natural</v>
          </cell>
          <cell r="L18" t="str">
            <v>t * km</v>
          </cell>
        </row>
        <row r="66">
          <cell r="L66">
            <v>1.02</v>
          </cell>
        </row>
      </sheetData>
      <sheetData sheetId="48">
        <row r="7">
          <cell r="L7" t="str">
            <v>5.12</v>
          </cell>
        </row>
        <row r="18">
          <cell r="E18" t="str">
            <v>Transporte com caminhão basculante de 10 m³ - rodovia com revestimento primário</v>
          </cell>
          <cell r="L18" t="str">
            <v>t * km</v>
          </cell>
        </row>
        <row r="66">
          <cell r="L66">
            <v>0.81</v>
          </cell>
        </row>
      </sheetData>
      <sheetData sheetId="49">
        <row r="6">
          <cell r="L6" t="str">
            <v>INCRA C</v>
          </cell>
        </row>
        <row r="18">
          <cell r="E18" t="str">
            <v>Compactação de aterros a 95 % do proctor normal (inclusos o espalhamento e a conformação da plataforma)</v>
          </cell>
          <cell r="L18" t="str">
            <v>m³</v>
          </cell>
        </row>
        <row r="67">
          <cell r="L67">
            <v>4.04</v>
          </cell>
        </row>
      </sheetData>
      <sheetData sheetId="50">
        <row r="18">
          <cell r="E18" t="str">
            <v>Reconformação da plataforma</v>
          </cell>
          <cell r="L18" t="str">
            <v>ha</v>
          </cell>
        </row>
        <row r="66">
          <cell r="L66">
            <v>262.98</v>
          </cell>
        </row>
      </sheetData>
      <sheetData sheetId="51">
        <row r="6">
          <cell r="L6" t="str">
            <v>INCRA C</v>
          </cell>
        </row>
        <row r="7">
          <cell r="L7" t="str">
            <v>5.15</v>
          </cell>
        </row>
        <row r="18">
          <cell r="E18" t="str">
            <v>Escavação mecânica de vala em material de 1ª categoria</v>
          </cell>
          <cell r="L18" t="str">
            <v>m³</v>
          </cell>
        </row>
        <row r="66">
          <cell r="L66">
            <v>8.14</v>
          </cell>
        </row>
      </sheetData>
      <sheetData sheetId="52">
        <row r="18">
          <cell r="E18" t="str">
            <v>Valetas e saídas laterais d´agua (bigodes - executadas com motoniveladora)</v>
          </cell>
          <cell r="L18" t="str">
            <v>m</v>
          </cell>
        </row>
        <row r="66">
          <cell r="L66">
            <v>1.05</v>
          </cell>
        </row>
      </sheetData>
      <sheetData sheetId="53">
        <row r="7">
          <cell r="L7" t="str">
            <v>5.17</v>
          </cell>
        </row>
        <row r="18">
          <cell r="E18" t="str">
            <v>Escavação e carga de solos moles - sem transporte (expurgo de areia da pista)</v>
          </cell>
          <cell r="L18" t="str">
            <v>m³</v>
          </cell>
        </row>
        <row r="66">
          <cell r="L66">
            <v>1.64</v>
          </cell>
        </row>
      </sheetData>
      <sheetData sheetId="54">
        <row r="18">
          <cell r="E18" t="str">
            <v>Expurgo de jazida - Limpeza e decapeamento</v>
          </cell>
          <cell r="L18" t="str">
            <v>m³</v>
          </cell>
        </row>
        <row r="66">
          <cell r="L66">
            <v>2.77</v>
          </cell>
        </row>
      </sheetData>
      <sheetData sheetId="55">
        <row r="7">
          <cell r="L7" t="str">
            <v>5.19</v>
          </cell>
        </row>
        <row r="18">
          <cell r="E18" t="str">
            <v>Semeadura manual em taludes (pó calcário, adubos NPK, orgânico, potássio, fósforo enxofre e sementes)</v>
          </cell>
          <cell r="L18" t="str">
            <v>m²</v>
          </cell>
        </row>
        <row r="74">
          <cell r="L74">
            <v>1.52</v>
          </cell>
        </row>
      </sheetData>
      <sheetData sheetId="56">
        <row r="18">
          <cell r="E18" t="str">
            <v>Caixas de retenção nas laterais da estrada para acúmulo de águas pluviais  (bacias de acumulação - micro bacias)</v>
          </cell>
          <cell r="L18" t="str">
            <v>un</v>
          </cell>
        </row>
        <row r="58">
          <cell r="L58">
            <v>160.16999999999999</v>
          </cell>
        </row>
      </sheetData>
      <sheetData sheetId="57">
        <row r="18">
          <cell r="E18" t="str">
            <v>Lombadas em aterro compactado para redução de velocidade das águas pluviais</v>
          </cell>
          <cell r="L18" t="str">
            <v>un</v>
          </cell>
        </row>
        <row r="58">
          <cell r="L58">
            <v>191.82</v>
          </cell>
        </row>
      </sheetData>
      <sheetData sheetId="58">
        <row r="7">
          <cell r="L7" t="str">
            <v>5.22</v>
          </cell>
        </row>
        <row r="69">
          <cell r="L69">
            <v>0</v>
          </cell>
        </row>
      </sheetData>
      <sheetData sheetId="59">
        <row r="7">
          <cell r="L7" t="str">
            <v>5.23</v>
          </cell>
        </row>
        <row r="69">
          <cell r="L69">
            <v>0</v>
          </cell>
        </row>
      </sheetData>
      <sheetData sheetId="60">
        <row r="7">
          <cell r="L7" t="str">
            <v>5.24</v>
          </cell>
        </row>
        <row r="69">
          <cell r="L69">
            <v>0</v>
          </cell>
        </row>
      </sheetData>
      <sheetData sheetId="61">
        <row r="7">
          <cell r="L7" t="str">
            <v>5.25</v>
          </cell>
        </row>
        <row r="69">
          <cell r="L69">
            <v>0</v>
          </cell>
        </row>
      </sheetData>
      <sheetData sheetId="62">
        <row r="7">
          <cell r="L7" t="str">
            <v>6.1</v>
          </cell>
        </row>
        <row r="18">
          <cell r="E18" t="str">
            <v>Corpo de bueiro BSTC ø = 0,40 m, PA-1, com berço em concreto ciclópico</v>
          </cell>
          <cell r="L18" t="str">
            <v>m</v>
          </cell>
        </row>
        <row r="63">
          <cell r="L63">
            <v>186.66</v>
          </cell>
        </row>
      </sheetData>
      <sheetData sheetId="63">
        <row r="18">
          <cell r="E18" t="str">
            <v>Corpo de bueiro BSTC ø = 0,60 m, PA-1, com berço em concreto ciclópico</v>
          </cell>
          <cell r="L18" t="str">
            <v>m</v>
          </cell>
        </row>
        <row r="63">
          <cell r="L63">
            <v>303.73</v>
          </cell>
        </row>
      </sheetData>
      <sheetData sheetId="64">
        <row r="7">
          <cell r="L7" t="str">
            <v>6.3</v>
          </cell>
        </row>
        <row r="18">
          <cell r="E18" t="str">
            <v>Corpo de bueiro BSTC ø = 0,80 m, PA-1, com berço em concreto ciclópico</v>
          </cell>
          <cell r="L18" t="str">
            <v>m</v>
          </cell>
        </row>
        <row r="63">
          <cell r="L63">
            <v>443.82</v>
          </cell>
        </row>
      </sheetData>
      <sheetData sheetId="65">
        <row r="18">
          <cell r="E18" t="str">
            <v>Corpo de bueiro BSTC ø = 1,00 m, PA-1, com berço em concreto ciclópico</v>
          </cell>
          <cell r="L18" t="str">
            <v>m</v>
          </cell>
        </row>
        <row r="63">
          <cell r="L63">
            <v>567.75</v>
          </cell>
        </row>
      </sheetData>
      <sheetData sheetId="66">
        <row r="7">
          <cell r="L7" t="str">
            <v>6.5</v>
          </cell>
        </row>
        <row r="18">
          <cell r="E18" t="str">
            <v>Corpo de bueiro BSTC ø = 1,20 m, PA-1, com berço em concreto ciclópico</v>
          </cell>
          <cell r="L18" t="str">
            <v>m</v>
          </cell>
        </row>
        <row r="63">
          <cell r="L63">
            <v>893.09</v>
          </cell>
        </row>
      </sheetData>
      <sheetData sheetId="67">
        <row r="7">
          <cell r="L7" t="str">
            <v>6.6</v>
          </cell>
        </row>
        <row r="18">
          <cell r="E18" t="str">
            <v>Corpo de bueiro BSTC ø = 1,50 m, PA-1, com berço em concreto ciclópico</v>
          </cell>
          <cell r="L18" t="str">
            <v>m</v>
          </cell>
        </row>
        <row r="63">
          <cell r="L63">
            <v>1536.07</v>
          </cell>
        </row>
      </sheetData>
      <sheetData sheetId="68">
        <row r="7">
          <cell r="L7" t="str">
            <v>6.7</v>
          </cell>
        </row>
        <row r="18">
          <cell r="E18" t="str">
            <v>Corpo de bueiro BDTC ø = 0,40 m, PA-1, com berço em concreto ciclópico</v>
          </cell>
          <cell r="L18" t="str">
            <v>m</v>
          </cell>
        </row>
        <row r="63">
          <cell r="L63">
            <v>353.76</v>
          </cell>
        </row>
      </sheetData>
      <sheetData sheetId="69">
        <row r="7">
          <cell r="L7" t="str">
            <v>6.8</v>
          </cell>
        </row>
        <row r="18">
          <cell r="E18" t="str">
            <v>Corpo de bueiro BDTC ø = 0,60 m, PA-1, com berço em concreto ciclópico</v>
          </cell>
          <cell r="L18" t="str">
            <v>m</v>
          </cell>
        </row>
        <row r="63">
          <cell r="L63">
            <v>568.38</v>
          </cell>
        </row>
      </sheetData>
      <sheetData sheetId="70">
        <row r="7">
          <cell r="L7" t="str">
            <v>6.9</v>
          </cell>
        </row>
        <row r="18">
          <cell r="E18" t="str">
            <v>Corpo de bueiro BDTC ø = 0,80 m, PA-1, com berço em concreto ciclópico</v>
          </cell>
          <cell r="L18" t="str">
            <v>m</v>
          </cell>
        </row>
        <row r="63">
          <cell r="L63">
            <v>858.3</v>
          </cell>
        </row>
      </sheetData>
      <sheetData sheetId="71">
        <row r="18">
          <cell r="E18" t="str">
            <v>Corpo de bueiro BDTC ø = 1,00 m, PA-1, com berço em concreto ciclópico</v>
          </cell>
          <cell r="L18" t="str">
            <v>m</v>
          </cell>
        </row>
        <row r="63">
          <cell r="L63">
            <v>1106.17</v>
          </cell>
        </row>
      </sheetData>
      <sheetData sheetId="72">
        <row r="7">
          <cell r="L7" t="str">
            <v>6.11</v>
          </cell>
        </row>
        <row r="18">
          <cell r="E18" t="str">
            <v>Corpo de bueiro BDTC ø = 1,20 m, PA-1, com berço em concreto ciclópico</v>
          </cell>
          <cell r="L18" t="str">
            <v>m</v>
          </cell>
        </row>
        <row r="63">
          <cell r="L63">
            <v>1747.05</v>
          </cell>
        </row>
      </sheetData>
      <sheetData sheetId="73">
        <row r="7">
          <cell r="L7" t="str">
            <v>6.12</v>
          </cell>
        </row>
        <row r="18">
          <cell r="E18" t="str">
            <v>Corpo de bueiro BDTC ø = 1,50 m, PA-1, com berço em concreto ciclópico</v>
          </cell>
          <cell r="L18" t="str">
            <v>m</v>
          </cell>
        </row>
        <row r="63">
          <cell r="L63">
            <v>3032.9</v>
          </cell>
        </row>
      </sheetData>
      <sheetData sheetId="74">
        <row r="7">
          <cell r="L7" t="str">
            <v>6.13</v>
          </cell>
        </row>
        <row r="18">
          <cell r="E18" t="str">
            <v>Corpo de bueiro BTTC ø = 0,40 m, PA-1, com berço em concreto ciclópico</v>
          </cell>
          <cell r="L18" t="str">
            <v>m</v>
          </cell>
        </row>
        <row r="63">
          <cell r="L63">
            <v>520.86</v>
          </cell>
        </row>
      </sheetData>
      <sheetData sheetId="75">
        <row r="7">
          <cell r="L7" t="str">
            <v>6.14</v>
          </cell>
        </row>
        <row r="18">
          <cell r="E18" t="str">
            <v>Corpo de bueiro BTTC ø = 0,60 m, PA-1,com berço em concreto ciclópico</v>
          </cell>
          <cell r="L18" t="str">
            <v>m</v>
          </cell>
        </row>
        <row r="63">
          <cell r="L63">
            <v>832.99</v>
          </cell>
        </row>
      </sheetData>
      <sheetData sheetId="76">
        <row r="7">
          <cell r="L7" t="str">
            <v>6.15</v>
          </cell>
        </row>
        <row r="18">
          <cell r="E18" t="str">
            <v>Corpo de bueiro BTTC ø = 0,80 m, PA-1, com berço em concreto ciclópico</v>
          </cell>
          <cell r="L18" t="str">
            <v>m</v>
          </cell>
        </row>
        <row r="63">
          <cell r="L63">
            <v>1272.79</v>
          </cell>
        </row>
      </sheetData>
      <sheetData sheetId="77">
        <row r="7">
          <cell r="L7" t="str">
            <v>6.16</v>
          </cell>
        </row>
        <row r="18">
          <cell r="E18" t="str">
            <v>Corpo de bueiro BTTC ø = 1,00 m, PA-1, com berço em concreto ciclópico</v>
          </cell>
          <cell r="L18" t="str">
            <v>m</v>
          </cell>
        </row>
        <row r="63">
          <cell r="L63">
            <v>1644.68</v>
          </cell>
        </row>
      </sheetData>
      <sheetData sheetId="78">
        <row r="7">
          <cell r="L7" t="str">
            <v>6.17</v>
          </cell>
        </row>
        <row r="18">
          <cell r="E18" t="str">
            <v>Corpo de bueiro BTTC ø = 1,20 m, PA-1, com berço em concreto ciclópico</v>
          </cell>
          <cell r="L18" t="str">
            <v>m</v>
          </cell>
        </row>
        <row r="63">
          <cell r="L63">
            <v>2601.02</v>
          </cell>
        </row>
      </sheetData>
      <sheetData sheetId="79">
        <row r="7">
          <cell r="L7" t="str">
            <v>6.18</v>
          </cell>
        </row>
        <row r="18">
          <cell r="E18" t="str">
            <v>Corpo de bueiro BTTC ø = 1,50 m, PA-1, com berço em concreto ciclópico</v>
          </cell>
          <cell r="L18" t="str">
            <v>m</v>
          </cell>
        </row>
        <row r="63">
          <cell r="L63">
            <v>4530.3100000000004</v>
          </cell>
        </row>
      </sheetData>
      <sheetData sheetId="80">
        <row r="7">
          <cell r="L7" t="str">
            <v>6.19</v>
          </cell>
        </row>
        <row r="18">
          <cell r="E18" t="str">
            <v>Boca de BSTC ø = 0,40 m, em concreto ciclópico, alas retas - esconsidade 0°</v>
          </cell>
        </row>
        <row r="63">
          <cell r="L63">
            <v>398.09</v>
          </cell>
        </row>
      </sheetData>
      <sheetData sheetId="81">
        <row r="18">
          <cell r="E18" t="str">
            <v>Boca de BSTC ø = 0,60 m, em concreto ciclópico, alas retas - esconsidade 0°</v>
          </cell>
        </row>
        <row r="63">
          <cell r="L63">
            <v>589.15</v>
          </cell>
        </row>
      </sheetData>
      <sheetData sheetId="82">
        <row r="7">
          <cell r="L7" t="str">
            <v>6.21</v>
          </cell>
        </row>
        <row r="18">
          <cell r="E18" t="str">
            <v>Boca de BSTC ø = 0,80 m, em concreto ciclópico, alas retas - esconsidade 0°</v>
          </cell>
        </row>
        <row r="63">
          <cell r="L63">
            <v>1116.01</v>
          </cell>
        </row>
      </sheetData>
      <sheetData sheetId="83">
        <row r="18">
          <cell r="E18" t="str">
            <v>Boca de BSTC ø = 1,00 m, em concreto ciclópico, alas retas - esconsidade 0°</v>
          </cell>
        </row>
        <row r="63">
          <cell r="L63">
            <v>1474.09</v>
          </cell>
        </row>
      </sheetData>
      <sheetData sheetId="84">
        <row r="7">
          <cell r="L7" t="str">
            <v>6.23</v>
          </cell>
        </row>
        <row r="18">
          <cell r="E18" t="str">
            <v>Boca de BSTC ø = 1,20 m, em concreto ciclópico, alas retas - esconsidade 0°</v>
          </cell>
        </row>
        <row r="63">
          <cell r="L63">
            <v>1960.12</v>
          </cell>
        </row>
      </sheetData>
      <sheetData sheetId="85">
        <row r="7">
          <cell r="L7" t="str">
            <v>6.24</v>
          </cell>
        </row>
        <row r="18">
          <cell r="E18" t="str">
            <v>Boca de BSTC ø = 1,50 m, em concreto ciclópico, alas retas - esconsidade 0°</v>
          </cell>
        </row>
        <row r="63">
          <cell r="L63">
            <v>3266.64</v>
          </cell>
        </row>
      </sheetData>
      <sheetData sheetId="86">
        <row r="7">
          <cell r="L7" t="str">
            <v>6.25</v>
          </cell>
        </row>
        <row r="18">
          <cell r="E18" t="str">
            <v>Boca de BDTC ø = 0,40 m, em concreto ciclópico, alas retas - esconsidade 0°</v>
          </cell>
        </row>
        <row r="63">
          <cell r="L63">
            <v>549.47</v>
          </cell>
        </row>
      </sheetData>
      <sheetData sheetId="87">
        <row r="7">
          <cell r="L7" t="str">
            <v>6.26</v>
          </cell>
        </row>
        <row r="18">
          <cell r="E18" t="str">
            <v>Boca de BDTC ø = 0,60 m, em concreto ciclópico, alas retas - esconsidade 0°</v>
          </cell>
        </row>
        <row r="63">
          <cell r="L63">
            <v>811.4</v>
          </cell>
        </row>
      </sheetData>
      <sheetData sheetId="88">
        <row r="7">
          <cell r="L7" t="str">
            <v>6.27</v>
          </cell>
        </row>
        <row r="18">
          <cell r="E18" t="str">
            <v>Boca de BDTC ø = 0,80 m, em concreto ciclópico, alas retas - esconsidade 0°</v>
          </cell>
        </row>
        <row r="63">
          <cell r="L63">
            <v>1504.76</v>
          </cell>
        </row>
      </sheetData>
      <sheetData sheetId="89">
        <row r="18">
          <cell r="E18" t="str">
            <v>Boca de BDTC ø = 1,00 m, em concreto ciclópico, alas retas - esconsidade 0°</v>
          </cell>
        </row>
        <row r="63">
          <cell r="L63">
            <v>1988.9</v>
          </cell>
        </row>
      </sheetData>
      <sheetData sheetId="90">
        <row r="7">
          <cell r="L7" t="str">
            <v>6.29</v>
          </cell>
        </row>
        <row r="18">
          <cell r="E18" t="str">
            <v>Boca de BDTC ø = 1,20 m, em concreto ciclópico, alas retas - esconsidade 0°</v>
          </cell>
        </row>
        <row r="63">
          <cell r="L63">
            <v>2637.82</v>
          </cell>
        </row>
      </sheetData>
      <sheetData sheetId="91">
        <row r="7">
          <cell r="L7" t="str">
            <v>6.30</v>
          </cell>
        </row>
        <row r="18">
          <cell r="E18" t="str">
            <v>Boca de BDTC ø = 1,50 m, em concreto ciclópico, alas retas - esconsidade 0°</v>
          </cell>
        </row>
        <row r="63">
          <cell r="L63">
            <v>4325.24</v>
          </cell>
        </row>
      </sheetData>
      <sheetData sheetId="92">
        <row r="7">
          <cell r="L7" t="str">
            <v>6.31</v>
          </cell>
        </row>
        <row r="18">
          <cell r="E18" t="str">
            <v>Boca de BTTC ø = 0,40 m, em concreto ciclópico, alas retas - esconsidade 0°</v>
          </cell>
        </row>
        <row r="63">
          <cell r="L63">
            <v>699.64</v>
          </cell>
        </row>
      </sheetData>
      <sheetData sheetId="93">
        <row r="7">
          <cell r="L7" t="str">
            <v>6.32</v>
          </cell>
        </row>
        <row r="18">
          <cell r="E18" t="str">
            <v>Boca de BTTC ø = 0,60 m, em concreto ciclópico, alas retas - esconsidade 0°</v>
          </cell>
        </row>
        <row r="63">
          <cell r="L63">
            <v>1032.1500000000001</v>
          </cell>
        </row>
      </sheetData>
      <sheetData sheetId="94">
        <row r="7">
          <cell r="L7" t="str">
            <v>6.33</v>
          </cell>
        </row>
        <row r="18">
          <cell r="E18" t="str">
            <v>Boca de BTTC ø = 0,80 m, em concreto ciclópico, alas retas - esconsidade 0°</v>
          </cell>
        </row>
        <row r="63">
          <cell r="L63">
            <v>1893.08</v>
          </cell>
        </row>
      </sheetData>
      <sheetData sheetId="95">
        <row r="7">
          <cell r="L7" t="str">
            <v>6.34</v>
          </cell>
        </row>
        <row r="18">
          <cell r="E18" t="str">
            <v>Boca de BTTC ø = 1,00 m, em concreto ciclópico, alas retas - esconsidade 0°</v>
          </cell>
        </row>
        <row r="63">
          <cell r="L63">
            <v>2503.77</v>
          </cell>
        </row>
      </sheetData>
      <sheetData sheetId="96">
        <row r="7">
          <cell r="L7" t="str">
            <v>6.35</v>
          </cell>
        </row>
        <row r="18">
          <cell r="E18" t="str">
            <v>Boca de BTTC ø = 1,20 m, em concreto ciclópico, alas retas - esconsidade 0°</v>
          </cell>
        </row>
        <row r="63">
          <cell r="L63">
            <v>3315.46</v>
          </cell>
        </row>
      </sheetData>
      <sheetData sheetId="97">
        <row r="7">
          <cell r="L7" t="str">
            <v>6.36</v>
          </cell>
        </row>
        <row r="18">
          <cell r="E18" t="str">
            <v>Boca de BTTC ø = 1,50 m, em concreto ciclópico, alas retas - esconsidade 0°</v>
          </cell>
        </row>
        <row r="63">
          <cell r="L63">
            <v>5383.84</v>
          </cell>
        </row>
      </sheetData>
      <sheetData sheetId="98">
        <row r="7">
          <cell r="L7" t="str">
            <v>6.19</v>
          </cell>
        </row>
        <row r="18">
          <cell r="E18" t="str">
            <v>Boca de BSTC ø = 0,40 m, em pedra argamassada, alas retas - esconsidade 0°</v>
          </cell>
        </row>
        <row r="63">
          <cell r="L63">
            <v>197.13</v>
          </cell>
        </row>
      </sheetData>
      <sheetData sheetId="99">
        <row r="18">
          <cell r="E18" t="str">
            <v>Boca de BSTC ø = 0,60 m, em pedra argamassada, alas retas - esconsidade 0°</v>
          </cell>
        </row>
        <row r="63">
          <cell r="L63">
            <v>282.33</v>
          </cell>
        </row>
      </sheetData>
      <sheetData sheetId="100">
        <row r="7">
          <cell r="L7" t="str">
            <v>6.21</v>
          </cell>
        </row>
        <row r="18">
          <cell r="E18" t="str">
            <v>Boca de BSTC ø = 0,80 m, em pedra argamassada, alas retas - esconsidade 0°</v>
          </cell>
        </row>
        <row r="63">
          <cell r="L63">
            <v>593.89</v>
          </cell>
        </row>
      </sheetData>
      <sheetData sheetId="101">
        <row r="18">
          <cell r="E18" t="str">
            <v>Boca de BSTC ø = 1,00 m, em pedra argamassada, alas retas - esconsidade 0°</v>
          </cell>
        </row>
        <row r="63">
          <cell r="L63">
            <v>767.48</v>
          </cell>
        </row>
      </sheetData>
      <sheetData sheetId="102">
        <row r="7">
          <cell r="L7" t="str">
            <v>6.23</v>
          </cell>
        </row>
        <row r="18">
          <cell r="E18" t="str">
            <v>Boca de BSTC ø = 1,20 m, em pedra argamassada, alas retas - esconsidade 0°</v>
          </cell>
        </row>
        <row r="63">
          <cell r="L63">
            <v>1092.31</v>
          </cell>
        </row>
      </sheetData>
      <sheetData sheetId="103">
        <row r="7">
          <cell r="L7" t="str">
            <v>6.24</v>
          </cell>
        </row>
        <row r="18">
          <cell r="E18" t="str">
            <v>Boca de BSTC ø = 1,50 m, em pedra argamassada, alas retas - esconsidade 0°</v>
          </cell>
        </row>
        <row r="63">
          <cell r="L63">
            <v>1954.53</v>
          </cell>
        </row>
      </sheetData>
      <sheetData sheetId="104">
        <row r="7">
          <cell r="L7" t="str">
            <v>6.25</v>
          </cell>
        </row>
        <row r="18">
          <cell r="E18" t="str">
            <v>Boca de BDTC ø = 0,40 m, em pedra argamassada, alas retas - esconsidade 0°</v>
          </cell>
        </row>
        <row r="63">
          <cell r="L63">
            <v>292.98</v>
          </cell>
        </row>
      </sheetData>
      <sheetData sheetId="105">
        <row r="7">
          <cell r="L7" t="str">
            <v>6.26</v>
          </cell>
        </row>
        <row r="18">
          <cell r="E18" t="str">
            <v>Boca de BDTC ø = 0,60 m, em pedra argamassada, alas retas - esconsidade 0°</v>
          </cell>
        </row>
        <row r="63">
          <cell r="L63">
            <v>417.07</v>
          </cell>
        </row>
      </sheetData>
      <sheetData sheetId="106">
        <row r="7">
          <cell r="L7" t="str">
            <v>6.27</v>
          </cell>
        </row>
        <row r="18">
          <cell r="E18" t="str">
            <v>Boca de BDTC ø = 0,80 m, em pedra argamassada, alas retas - esconsidade 0°</v>
          </cell>
        </row>
        <row r="63">
          <cell r="L63">
            <v>845.69</v>
          </cell>
        </row>
      </sheetData>
      <sheetData sheetId="107">
        <row r="18">
          <cell r="E18" t="str">
            <v>Boca de BDTC ø = 1,00 m, em pedra argamassada, alas retas - esconsidade 0°</v>
          </cell>
        </row>
        <row r="63">
          <cell r="L63">
            <v>1104.07</v>
          </cell>
        </row>
      </sheetData>
      <sheetData sheetId="108">
        <row r="7">
          <cell r="L7" t="str">
            <v>6.29</v>
          </cell>
        </row>
        <row r="18">
          <cell r="E18" t="str">
            <v>Boca de BDTC ø = 1,20 m, em pedra argamassada, alas retas - esconsidade 0°</v>
          </cell>
        </row>
        <row r="63">
          <cell r="L63">
            <v>1551.21</v>
          </cell>
        </row>
      </sheetData>
      <sheetData sheetId="109">
        <row r="7">
          <cell r="L7" t="str">
            <v>6.30</v>
          </cell>
        </row>
        <row r="18">
          <cell r="E18" t="str">
            <v>Boca de BDTC ø = 1,50 m, em pedra argamassada, alas retas - esconsidade 0°</v>
          </cell>
        </row>
        <row r="63">
          <cell r="L63">
            <v>2720.61</v>
          </cell>
        </row>
      </sheetData>
      <sheetData sheetId="110">
        <row r="7">
          <cell r="L7" t="str">
            <v>6.31</v>
          </cell>
        </row>
        <row r="18">
          <cell r="E18" t="str">
            <v>Boca de BTTC ø = 0,40 m, em pedra argamassada, alas retas - esconsidade 0°</v>
          </cell>
        </row>
        <row r="63">
          <cell r="L63">
            <v>387.62</v>
          </cell>
        </row>
      </sheetData>
      <sheetData sheetId="111">
        <row r="7">
          <cell r="L7" t="str">
            <v>6.32</v>
          </cell>
        </row>
        <row r="18">
          <cell r="E18" t="str">
            <v>Boca de BTTC ø = 0,60 m, em pedra argamassada, alas retas - esconsidade 0°</v>
          </cell>
        </row>
        <row r="63">
          <cell r="L63">
            <v>550.53</v>
          </cell>
        </row>
      </sheetData>
      <sheetData sheetId="112">
        <row r="7">
          <cell r="L7" t="str">
            <v>6.33</v>
          </cell>
        </row>
        <row r="18">
          <cell r="E18" t="str">
            <v>Boca de BTTC ø = 0,80 m, em pedra argamassada, alas retas - esconsidade 0°</v>
          </cell>
        </row>
        <row r="63">
          <cell r="L63">
            <v>1097.53</v>
          </cell>
        </row>
      </sheetData>
      <sheetData sheetId="113">
        <row r="7">
          <cell r="L7" t="str">
            <v>6.34</v>
          </cell>
        </row>
        <row r="18">
          <cell r="E18" t="str">
            <v>Boca de BTTC ø = 1,00 m, em pedra argamassada, alas retas - esconsidade 0°</v>
          </cell>
        </row>
        <row r="63">
          <cell r="L63">
            <v>1440.69</v>
          </cell>
        </row>
      </sheetData>
      <sheetData sheetId="114">
        <row r="7">
          <cell r="L7" t="str">
            <v>6.35</v>
          </cell>
        </row>
        <row r="18">
          <cell r="E18" t="str">
            <v>Boca de BTTC ø = 1,20 m, em pedra argamassada, alas retas - esconsidade 0°</v>
          </cell>
        </row>
        <row r="63">
          <cell r="L63">
            <v>2010.14</v>
          </cell>
        </row>
      </sheetData>
      <sheetData sheetId="115">
        <row r="7">
          <cell r="L7" t="str">
            <v>6.36</v>
          </cell>
        </row>
        <row r="18">
          <cell r="E18" t="str">
            <v>Boca de BTTC ø = 1,50 m, em pedra argamassada, alas retas - esconsidade 0°</v>
          </cell>
        </row>
        <row r="63">
          <cell r="L63">
            <v>3486.68</v>
          </cell>
        </row>
      </sheetData>
      <sheetData sheetId="116">
        <row r="7">
          <cell r="L7" t="str">
            <v>6.37</v>
          </cell>
        </row>
        <row r="18">
          <cell r="E18" t="str">
            <v>Escavação mecânica de vala em material de 1ª categoria</v>
          </cell>
          <cell r="L18" t="str">
            <v>m³</v>
          </cell>
        </row>
        <row r="66">
          <cell r="L66">
            <v>8.14</v>
          </cell>
        </row>
      </sheetData>
      <sheetData sheetId="117">
        <row r="7">
          <cell r="L7" t="str">
            <v>6.38</v>
          </cell>
        </row>
        <row r="18">
          <cell r="E18" t="str">
            <v>Reaterro e compactação com soquete vibratório</v>
          </cell>
          <cell r="L18" t="str">
            <v>m³</v>
          </cell>
        </row>
        <row r="69">
          <cell r="L69">
            <v>15.89</v>
          </cell>
        </row>
      </sheetData>
      <sheetData sheetId="118">
        <row r="7">
          <cell r="L7" t="str">
            <v>6.39</v>
          </cell>
        </row>
        <row r="69">
          <cell r="L69">
            <v>0</v>
          </cell>
        </row>
      </sheetData>
      <sheetData sheetId="119">
        <row r="7">
          <cell r="L7" t="str">
            <v>6.40</v>
          </cell>
        </row>
        <row r="69">
          <cell r="L69">
            <v>0</v>
          </cell>
        </row>
      </sheetData>
      <sheetData sheetId="120">
        <row r="7">
          <cell r="L7" t="str">
            <v>6.41</v>
          </cell>
        </row>
        <row r="69">
          <cell r="L69">
            <v>0</v>
          </cell>
        </row>
      </sheetData>
      <sheetData sheetId="121"/>
      <sheetData sheetId="122">
        <row r="7">
          <cell r="L7" t="str">
            <v>7.1</v>
          </cell>
        </row>
        <row r="18">
          <cell r="E18" t="str">
            <v>Ponte em madeira de lei LEGALIZADA (peças aparelhadas), com vigamento simples e fundação em estacas cravadas, com largura mínima de 5,00 m (exceto alas para contenção de aterro) - Dados da ponte devem ser informados na planilha Quant. Ponte Madeira</v>
          </cell>
          <cell r="L18" t="str">
            <v>m</v>
          </cell>
        </row>
        <row r="70">
          <cell r="L70">
            <v>6997.96</v>
          </cell>
        </row>
      </sheetData>
      <sheetData sheetId="123">
        <row r="7">
          <cell r="L7" t="str">
            <v>7.2</v>
          </cell>
        </row>
        <row r="18">
          <cell r="E18" t="str">
            <v>Ala de contenção de aterro para ponte em madeira de lei LEGALIZADA (peças aparelhadas), fundação em estacas cravadas, com largura mínima de 5,00 m  - Dados das alas devem ser informados na planilha Quant. Ponte Madeira</v>
          </cell>
          <cell r="L18" t="str">
            <v>un</v>
          </cell>
        </row>
        <row r="70">
          <cell r="L70">
            <v>8907.65</v>
          </cell>
        </row>
      </sheetData>
      <sheetData sheetId="124">
        <row r="7">
          <cell r="L7" t="str">
            <v>7.3</v>
          </cell>
        </row>
        <row r="18">
          <cell r="E18" t="str">
            <v>Ponte mista em pedra argamassada e madeira de lei LEGALIZADA (peças aparelhadas), largura mínima de 5,00 m, inclusive imunização total das madeiras.</v>
          </cell>
          <cell r="L18" t="str">
            <v>m</v>
          </cell>
        </row>
        <row r="69">
          <cell r="L69">
            <v>6873.34</v>
          </cell>
        </row>
      </sheetData>
      <sheetData sheetId="125">
        <row r="7">
          <cell r="L7" t="str">
            <v>7.4</v>
          </cell>
        </row>
        <row r="18">
          <cell r="E18" t="str">
            <v>Pontilhão em madeira de lei LEGALIZADA pranchado (peças aparelhadas), com largura mínima de 4,20 m.</v>
          </cell>
          <cell r="L18" t="str">
            <v>m</v>
          </cell>
        </row>
        <row r="69">
          <cell r="L69">
            <v>4240.97</v>
          </cell>
        </row>
      </sheetData>
      <sheetData sheetId="126">
        <row r="7">
          <cell r="L7" t="str">
            <v>7.5</v>
          </cell>
        </row>
        <row r="18">
          <cell r="E18" t="str">
            <v>Ponte em estrutura mista (concreto e madeira de lei LEGALIZADA - peças aparelhadas), com vigamento simples e fundação em estacas cravadas (madeira e/ou concreto), largura mínima de 5,00 m. Elementos em concreto armado =&gt; blocos, pilares, transversinas, vigas de contraventamentos, alas e testas de caixão de aterro e guarda corpo. Elementos em madeira de lei =&gt; balancins, longarinas, assoalho, rodeiros e guarda rodas, inclusive imunização total das madeiras (deverá ser elaborado o projeto estrutural da ponte, bem como orçamento específico para apresentação da proposta).</v>
          </cell>
        </row>
        <row r="69">
          <cell r="L69">
            <v>0</v>
          </cell>
        </row>
      </sheetData>
      <sheetData sheetId="127">
        <row r="7">
          <cell r="L7" t="str">
            <v>7.6</v>
          </cell>
        </row>
        <row r="18">
          <cell r="E18" t="str">
            <v>Ponte em estrutura de concreto armado largura mínima de 5,00 m (deverá ser elaborado o projeto estrutural da ponte, bem como orçamento específico para apresentação da proposta)</v>
          </cell>
        </row>
        <row r="69">
          <cell r="L69">
            <v>0</v>
          </cell>
        </row>
      </sheetData>
      <sheetData sheetId="128">
        <row r="7">
          <cell r="L7" t="str">
            <v>7.7</v>
          </cell>
        </row>
        <row r="18">
          <cell r="E18" t="str">
            <v>Fornecimento e implantação de placa de advertência para sinalização de obras de arte especiais, em chapa de aço galvanizado nº 16, película retrorrefletiva tipo I + SI, com suporte e travessa em madeira de lei tratada 8 x 8 cm. (Informar as medidas das placas dessa composição)</v>
          </cell>
          <cell r="L18" t="str">
            <v>un</v>
          </cell>
        </row>
        <row r="65">
          <cell r="E65" t="str">
            <v>Ponte estreita, código A-22 (amar)</v>
          </cell>
          <cell r="F65">
            <v>0.8</v>
          </cell>
          <cell r="G65">
            <v>0.8</v>
          </cell>
          <cell r="L65">
            <v>557.76</v>
          </cell>
        </row>
        <row r="66">
          <cell r="E66" t="str">
            <v>Identificação de OAE (azul)</v>
          </cell>
          <cell r="F66">
            <v>1.5</v>
          </cell>
          <cell r="G66">
            <v>1</v>
          </cell>
          <cell r="L66">
            <v>1182.24</v>
          </cell>
        </row>
        <row r="67">
          <cell r="E67" t="str">
            <v>Marcador de alinhamento (amar.)</v>
          </cell>
          <cell r="F67">
            <v>0.5</v>
          </cell>
          <cell r="G67">
            <v>0.6</v>
          </cell>
          <cell r="L67">
            <v>372.03</v>
          </cell>
        </row>
      </sheetData>
      <sheetData sheetId="129">
        <row r="7">
          <cell r="L7" t="str">
            <v>7.8</v>
          </cell>
        </row>
        <row r="18">
          <cell r="E18" t="str">
            <v>Mata burro com estrutura em perfis de aço e concreto (Incluso transporte) - Preencher os campos da DMT dessa composição</v>
          </cell>
          <cell r="L18" t="str">
            <v>un</v>
          </cell>
        </row>
        <row r="67">
          <cell r="L67">
            <v>5249.83</v>
          </cell>
        </row>
      </sheetData>
      <sheetData sheetId="130">
        <row r="7">
          <cell r="L7" t="str">
            <v>7.9</v>
          </cell>
        </row>
        <row r="18">
          <cell r="E18" t="str">
            <v>Passagem molhada em alvenaria de pedra argamassada 1:4 (largura livre de 5,00 m), inclusive enrocamento de pedra de mão à jusante (largura mínima de 3,00 m)</v>
          </cell>
          <cell r="L18" t="str">
            <v>m</v>
          </cell>
        </row>
        <row r="67">
          <cell r="L67">
            <v>1507.86</v>
          </cell>
        </row>
      </sheetData>
      <sheetData sheetId="131">
        <row r="7">
          <cell r="L7" t="str">
            <v>7.10</v>
          </cell>
        </row>
        <row r="18">
          <cell r="E18" t="str">
            <v>Conjunto de placas para sinalização provisória de execução de obras, com películas retrorrefletivas do tipo VIII e do tipo I + X, inclusive cavaletes</v>
          </cell>
          <cell r="L18" t="str">
            <v>cj</v>
          </cell>
        </row>
        <row r="49">
          <cell r="D49">
            <v>0</v>
          </cell>
        </row>
        <row r="50">
          <cell r="D50">
            <v>0</v>
          </cell>
        </row>
        <row r="51">
          <cell r="D51">
            <v>0</v>
          </cell>
        </row>
        <row r="68">
          <cell r="L68">
            <v>0</v>
          </cell>
        </row>
      </sheetData>
      <sheetData sheetId="132">
        <row r="7">
          <cell r="L7" t="str">
            <v>7.11</v>
          </cell>
        </row>
        <row r="69">
          <cell r="L69">
            <v>0</v>
          </cell>
        </row>
      </sheetData>
      <sheetData sheetId="133">
        <row r="7">
          <cell r="L7" t="str">
            <v>7.12</v>
          </cell>
        </row>
        <row r="69">
          <cell r="L69">
            <v>0</v>
          </cell>
        </row>
      </sheetData>
      <sheetData sheetId="134">
        <row r="7">
          <cell r="L7" t="str">
            <v>7.13</v>
          </cell>
        </row>
        <row r="69">
          <cell r="L69">
            <v>0</v>
          </cell>
        </row>
      </sheetData>
      <sheetData sheetId="135">
        <row r="18">
          <cell r="E18" t="str">
            <v>Escavação e carga de material de jazida com escavadeira hidráulica</v>
          </cell>
          <cell r="L18" t="str">
            <v>m³</v>
          </cell>
        </row>
        <row r="65">
          <cell r="L65">
            <v>1.35</v>
          </cell>
        </row>
      </sheetData>
      <sheetData sheetId="136">
        <row r="18">
          <cell r="E18" t="str">
            <v>Transporte com caminhão basculante de 10 m³ - rodovia em leito natural</v>
          </cell>
          <cell r="L18" t="str">
            <v>t x km</v>
          </cell>
        </row>
        <row r="66">
          <cell r="L66">
            <v>1.02</v>
          </cell>
        </row>
      </sheetData>
      <sheetData sheetId="137">
        <row r="7">
          <cell r="L7" t="str">
            <v>8.3</v>
          </cell>
        </row>
        <row r="18">
          <cell r="E18" t="str">
            <v>Transporte com caminhão basculante de 10 m³ - rodovia com revestimento primário</v>
          </cell>
          <cell r="L18" t="str">
            <v>t x km</v>
          </cell>
        </row>
        <row r="66">
          <cell r="L66">
            <v>0.81</v>
          </cell>
        </row>
      </sheetData>
      <sheetData sheetId="138">
        <row r="18">
          <cell r="E18" t="str">
            <v>Compactação de material de revestimento a 95 % do proctor normal (inclusos o espalhamento e a conformação da plataforma)</v>
          </cell>
          <cell r="L18" t="str">
            <v>m³</v>
          </cell>
        </row>
        <row r="67">
          <cell r="L67">
            <v>4.04</v>
          </cell>
        </row>
      </sheetData>
      <sheetData sheetId="139">
        <row r="7">
          <cell r="L7" t="str">
            <v>8.5</v>
          </cell>
        </row>
        <row r="18">
          <cell r="E18" t="str">
            <v>Base estabilizada granulometricamente com mistura solo brita (70% - 30%) na pista com material de jazida e brita comercial (inclusos o espalhamento, a conformação e a compactação da plataforma)</v>
          </cell>
          <cell r="L18" t="str">
            <v>m³</v>
          </cell>
        </row>
        <row r="66">
          <cell r="L66">
            <v>50.51</v>
          </cell>
        </row>
      </sheetData>
      <sheetData sheetId="140">
        <row r="7">
          <cell r="L7" t="str">
            <v>8.6</v>
          </cell>
        </row>
        <row r="69">
          <cell r="L69">
            <v>0</v>
          </cell>
        </row>
      </sheetData>
      <sheetData sheetId="141">
        <row r="7">
          <cell r="L7" t="str">
            <v>8.7</v>
          </cell>
        </row>
        <row r="69">
          <cell r="L69">
            <v>0</v>
          </cell>
        </row>
      </sheetData>
      <sheetData sheetId="142">
        <row r="18">
          <cell r="E18" t="str">
            <v>Prenchimento da jazida com material orgânico proveniente do seu decapeamento</v>
          </cell>
          <cell r="L18" t="str">
            <v>m³</v>
          </cell>
        </row>
        <row r="66">
          <cell r="L66">
            <v>0.45</v>
          </cell>
        </row>
      </sheetData>
      <sheetData sheetId="143">
        <row r="18">
          <cell r="E18" t="str">
            <v>Semeadura manual (pó calcário, adubos NPK, orgânico, potássio, fósforo enxofre e sementes)</v>
          </cell>
          <cell r="L18" t="str">
            <v>m²</v>
          </cell>
        </row>
        <row r="74">
          <cell r="L74">
            <v>1.52</v>
          </cell>
        </row>
      </sheetData>
      <sheetData sheetId="144">
        <row r="7">
          <cell r="L7" t="str">
            <v>9.3</v>
          </cell>
        </row>
        <row r="69">
          <cell r="L69">
            <v>0</v>
          </cell>
        </row>
      </sheetData>
      <sheetData sheetId="145">
        <row r="7">
          <cell r="L7" t="str">
            <v>9.4</v>
          </cell>
        </row>
        <row r="69">
          <cell r="L69">
            <v>0</v>
          </cell>
        </row>
      </sheetData>
      <sheetData sheetId="146">
        <row r="7">
          <cell r="L7" t="str">
            <v>9.5</v>
          </cell>
        </row>
        <row r="69">
          <cell r="L69">
            <v>0</v>
          </cell>
        </row>
      </sheetData>
      <sheetData sheetId="147"/>
      <sheetData sheetId="148"/>
      <sheetData sheetId="149"/>
      <sheetData sheetId="150">
        <row r="6">
          <cell r="L6" t="str">
            <v>INCRA A</v>
          </cell>
        </row>
      </sheetData>
      <sheetData sheetId="151">
        <row r="6">
          <cell r="L6" t="str">
            <v>INCRA A</v>
          </cell>
        </row>
      </sheetData>
      <sheetData sheetId="152">
        <row r="6">
          <cell r="L6" t="str">
            <v>INCRA A</v>
          </cell>
        </row>
      </sheetData>
      <sheetData sheetId="153"/>
      <sheetData sheetId="154"/>
      <sheetData sheetId="155"/>
      <sheetData sheetId="156">
        <row r="6">
          <cell r="L6" t="str">
            <v>INCRA A</v>
          </cell>
        </row>
      </sheetData>
      <sheetData sheetId="157"/>
      <sheetData sheetId="158"/>
      <sheetData sheetId="159"/>
      <sheetData sheetId="160"/>
      <sheetData sheetId="161"/>
      <sheetData sheetId="162">
        <row r="6">
          <cell r="L6" t="str">
            <v>INCRA A</v>
          </cell>
        </row>
      </sheetData>
      <sheetData sheetId="163"/>
      <sheetData sheetId="164"/>
      <sheetData sheetId="165"/>
      <sheetData sheetId="166"/>
      <sheetData sheetId="167"/>
      <sheetData sheetId="168"/>
      <sheetData sheetId="169"/>
      <sheetData sheetId="170"/>
      <sheetData sheetId="171"/>
      <sheetData sheetId="172"/>
      <sheetData sheetId="173">
        <row r="7">
          <cell r="H7">
            <v>4.0641999999999996</v>
          </cell>
        </row>
      </sheetData>
      <sheetData sheetId="174"/>
      <sheetData sheetId="175">
        <row r="7">
          <cell r="H7">
            <v>9.0662000000000003</v>
          </cell>
        </row>
      </sheetData>
      <sheetData sheetId="176"/>
      <sheetData sheetId="177"/>
      <sheetData sheetId="178"/>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 /><Relationship Id="rId1" Type="http://schemas.openxmlformats.org/officeDocument/2006/relationships/printerSettings" Target="../printerSettings/printerSettings2.bin" /></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 /><Relationship Id="rId1" Type="http://schemas.openxmlformats.org/officeDocument/2006/relationships/printerSettings" Target="../printerSettings/printerSettings3.bin" /></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 /></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2"/>
  <sheetViews>
    <sheetView tabSelected="1" topLeftCell="A21" zoomScale="83" zoomScaleNormal="83" workbookViewId="0">
      <selection activeCell="K37" sqref="K37"/>
    </sheetView>
  </sheetViews>
  <sheetFormatPr defaultRowHeight="15" x14ac:dyDescent="0.2"/>
  <cols>
    <col min="1" max="1" width="10.76171875" style="1" customWidth="1"/>
    <col min="2" max="3" width="15.73828125" style="1" customWidth="1"/>
    <col min="4" max="4" width="7.6640625" style="1" customWidth="1"/>
    <col min="5" max="5" width="11.56640625" style="1" customWidth="1"/>
    <col min="6" max="6" width="10.22265625" style="1" customWidth="1"/>
    <col min="7" max="7" width="72.640625" style="1" customWidth="1"/>
    <col min="8" max="8" width="10.22265625" style="1" customWidth="1"/>
    <col min="9" max="1025" width="8.7421875" customWidth="1"/>
  </cols>
  <sheetData>
    <row r="1" spans="1:8" ht="27" customHeight="1" x14ac:dyDescent="0.2">
      <c r="A1" s="1319"/>
      <c r="B1" s="1319"/>
      <c r="C1" s="1320" t="str">
        <f>'[1]Informações de entrada'!C5</f>
        <v>Estado do Pará</v>
      </c>
      <c r="D1" s="1320"/>
      <c r="E1" s="1320"/>
      <c r="F1" s="1320"/>
      <c r="G1" s="1320"/>
      <c r="H1" s="1320"/>
    </row>
    <row r="2" spans="1:8" ht="45.75" customHeight="1" x14ac:dyDescent="0.2">
      <c r="A2" s="1321"/>
      <c r="B2" s="1321"/>
      <c r="C2" s="1322" t="str">
        <f>'[1]Informações de entrada'!C7</f>
        <v>Prefeitura Municipal de Santarém Novo</v>
      </c>
      <c r="D2" s="1322"/>
      <c r="E2" s="1322"/>
      <c r="F2" s="1322"/>
      <c r="G2" s="1322"/>
      <c r="H2" s="1322"/>
    </row>
    <row r="3" spans="1:8" x14ac:dyDescent="0.2">
      <c r="A3" s="2"/>
      <c r="B3" s="2"/>
      <c r="C3" s="2"/>
      <c r="D3" s="2"/>
      <c r="E3" s="2"/>
      <c r="F3" s="2"/>
      <c r="G3" s="2"/>
      <c r="H3" s="2"/>
    </row>
    <row r="4" spans="1:8" x14ac:dyDescent="0.2">
      <c r="A4" s="1323" t="s">
        <v>0</v>
      </c>
      <c r="B4" s="1323"/>
      <c r="C4" s="1323"/>
      <c r="D4" s="1323"/>
      <c r="E4" s="1323"/>
      <c r="F4" s="1323"/>
      <c r="G4" s="1323"/>
      <c r="H4" s="1323"/>
    </row>
    <row r="5" spans="1:8" x14ac:dyDescent="0.2">
      <c r="A5" s="3"/>
      <c r="B5" s="3"/>
      <c r="C5" s="3"/>
      <c r="D5" s="3"/>
      <c r="E5" s="3"/>
      <c r="F5" s="3"/>
      <c r="G5" s="3"/>
      <c r="H5" s="3"/>
    </row>
    <row r="6" spans="1:8" ht="15" customHeight="1" x14ac:dyDescent="0.2">
      <c r="A6" s="4" t="s">
        <v>1</v>
      </c>
      <c r="B6" s="5" t="str">
        <f>'[1]Informações de entrada'!C11</f>
        <v>Construção / Recuperação e complementação de estradas vicinais</v>
      </c>
      <c r="C6" s="6"/>
      <c r="D6" s="7"/>
      <c r="E6" s="7"/>
      <c r="F6" s="7"/>
      <c r="G6" s="8"/>
      <c r="H6" s="1313" t="s">
        <v>2</v>
      </c>
    </row>
    <row r="7" spans="1:8" x14ac:dyDescent="0.2">
      <c r="A7" s="9" t="s">
        <v>3</v>
      </c>
      <c r="B7" s="10" t="str">
        <f>'[1]Informações de entrada'!C21</f>
        <v>RESEX CHOCOARÉ-MATOGROSSO</v>
      </c>
      <c r="C7" s="11"/>
      <c r="D7" s="12"/>
      <c r="E7" s="12"/>
      <c r="F7" s="12"/>
      <c r="G7" s="13"/>
      <c r="H7" s="1313"/>
    </row>
    <row r="8" spans="1:8" x14ac:dyDescent="0.2">
      <c r="A8" s="9" t="s">
        <v>4</v>
      </c>
      <c r="B8" s="10" t="str">
        <f>'[1]Informações de entrada'!C7</f>
        <v>Prefeitura Municipal de Santarém Novo</v>
      </c>
      <c r="C8" s="11"/>
      <c r="D8" s="12"/>
      <c r="E8" s="12"/>
      <c r="F8" s="12"/>
      <c r="G8" s="14"/>
      <c r="H8" s="1314">
        <f>E40</f>
        <v>12.15</v>
      </c>
    </row>
    <row r="9" spans="1:8" x14ac:dyDescent="0.2">
      <c r="A9" s="15" t="s">
        <v>5</v>
      </c>
      <c r="B9" s="16" t="str">
        <f>'[1]Informações de entrada'!C25</f>
        <v>GPS Garmin 76</v>
      </c>
      <c r="C9" s="17"/>
      <c r="D9" s="18"/>
      <c r="E9" s="18"/>
      <c r="F9" s="19" t="s">
        <v>6</v>
      </c>
      <c r="G9" s="20">
        <f>'[1]Informações de entrada'!C27</f>
        <v>44433</v>
      </c>
      <c r="H9" s="1314"/>
    </row>
    <row r="10" spans="1:8" x14ac:dyDescent="0.2">
      <c r="A10" s="21"/>
      <c r="B10" s="21"/>
      <c r="C10" s="21"/>
      <c r="D10" s="21"/>
      <c r="E10" s="21"/>
      <c r="F10" s="21"/>
      <c r="G10" s="21"/>
      <c r="H10" s="21"/>
    </row>
    <row r="11" spans="1:8" ht="15.75" customHeight="1" x14ac:dyDescent="0.2">
      <c r="A11" s="1315" t="s">
        <v>7</v>
      </c>
      <c r="B11" s="1315" t="s">
        <v>8</v>
      </c>
      <c r="C11" s="1315"/>
      <c r="D11" s="22" t="s">
        <v>9</v>
      </c>
      <c r="E11" s="1316" t="s">
        <v>10</v>
      </c>
      <c r="F11" s="1316" t="s">
        <v>11</v>
      </c>
      <c r="G11" s="1317" t="s">
        <v>12</v>
      </c>
      <c r="H11" s="1318" t="s">
        <v>13</v>
      </c>
    </row>
    <row r="12" spans="1:8" ht="28.5" customHeight="1" x14ac:dyDescent="0.2">
      <c r="A12" s="1315"/>
      <c r="B12" s="23" t="s">
        <v>14</v>
      </c>
      <c r="C12" s="24" t="s">
        <v>15</v>
      </c>
      <c r="D12" s="25" t="s">
        <v>16</v>
      </c>
      <c r="E12" s="1316"/>
      <c r="F12" s="1316"/>
      <c r="G12" s="1317"/>
      <c r="H12" s="1318"/>
    </row>
    <row r="13" spans="1:8" x14ac:dyDescent="0.2">
      <c r="A13" s="26" t="s">
        <v>17</v>
      </c>
      <c r="B13" s="27"/>
      <c r="C13" s="28"/>
      <c r="D13" s="29"/>
      <c r="E13" s="29"/>
      <c r="F13" s="29"/>
      <c r="G13" s="30"/>
      <c r="H13" s="31"/>
    </row>
    <row r="14" spans="1:8" x14ac:dyDescent="0.2">
      <c r="A14" s="32"/>
      <c r="B14" s="33"/>
      <c r="C14" s="33"/>
      <c r="D14" s="33"/>
      <c r="E14" s="34"/>
      <c r="F14" s="34">
        <f>F13+E14</f>
        <v>0</v>
      </c>
      <c r="G14" s="35"/>
      <c r="H14" s="36"/>
    </row>
    <row r="15" spans="1:8" hidden="1" x14ac:dyDescent="0.2">
      <c r="A15" s="32"/>
      <c r="B15" s="33"/>
      <c r="C15" s="33"/>
      <c r="D15" s="33"/>
      <c r="E15" s="34"/>
      <c r="F15" s="34">
        <f>F14+E15</f>
        <v>0</v>
      </c>
      <c r="G15" s="35"/>
      <c r="H15" s="36"/>
    </row>
    <row r="16" spans="1:8" hidden="1" x14ac:dyDescent="0.2">
      <c r="A16" s="32"/>
      <c r="B16" s="33"/>
      <c r="C16" s="33"/>
      <c r="D16" s="33"/>
      <c r="E16" s="34"/>
      <c r="F16" s="34">
        <f>F15+E16</f>
        <v>0</v>
      </c>
      <c r="G16" s="35"/>
      <c r="H16" s="36"/>
    </row>
    <row r="17" spans="1:8" hidden="1" x14ac:dyDescent="0.2">
      <c r="A17" s="32"/>
      <c r="B17" s="33"/>
      <c r="C17" s="33"/>
      <c r="D17" s="33"/>
      <c r="E17" s="34"/>
      <c r="F17" s="34">
        <f>F16+E17</f>
        <v>0</v>
      </c>
      <c r="G17" s="35"/>
      <c r="H17" s="36"/>
    </row>
    <row r="18" spans="1:8" x14ac:dyDescent="0.2">
      <c r="A18" s="37"/>
      <c r="B18" s="38"/>
      <c r="C18" s="38"/>
      <c r="D18" s="1311" t="s">
        <v>18</v>
      </c>
      <c r="E18" s="1311"/>
      <c r="F18" s="39">
        <f>F17</f>
        <v>0</v>
      </c>
      <c r="G18" s="40" t="s">
        <v>19</v>
      </c>
      <c r="H18" s="41"/>
    </row>
    <row r="19" spans="1:8" x14ac:dyDescent="0.2">
      <c r="A19" s="42" t="s">
        <v>20</v>
      </c>
      <c r="B19" s="43"/>
      <c r="C19" s="44"/>
      <c r="D19" s="45"/>
      <c r="E19" s="46"/>
      <c r="F19" s="46"/>
      <c r="G19" s="47"/>
      <c r="H19" s="48"/>
    </row>
    <row r="20" spans="1:8" x14ac:dyDescent="0.2">
      <c r="A20" s="49">
        <v>1</v>
      </c>
      <c r="B20" s="50" t="s">
        <v>21</v>
      </c>
      <c r="C20" s="51" t="s">
        <v>22</v>
      </c>
      <c r="D20" s="52">
        <v>1</v>
      </c>
      <c r="E20" s="53">
        <v>0</v>
      </c>
      <c r="F20" s="57">
        <v>8750</v>
      </c>
      <c r="G20" s="54" t="s">
        <v>23</v>
      </c>
      <c r="H20" s="55"/>
    </row>
    <row r="21" spans="1:8" ht="21" customHeight="1" x14ac:dyDescent="0.2">
      <c r="A21" s="49">
        <v>1</v>
      </c>
      <c r="B21" s="50" t="s">
        <v>24</v>
      </c>
      <c r="C21" s="50" t="s">
        <v>25</v>
      </c>
      <c r="D21" s="56">
        <v>1</v>
      </c>
      <c r="E21" s="57">
        <v>8750</v>
      </c>
      <c r="F21" s="57">
        <v>8750</v>
      </c>
      <c r="G21" s="58" t="s">
        <v>26</v>
      </c>
      <c r="H21" s="59"/>
    </row>
    <row r="22" spans="1:8" ht="19.5" customHeight="1" x14ac:dyDescent="0.2">
      <c r="A22" s="49">
        <v>2</v>
      </c>
      <c r="B22" s="50" t="s">
        <v>27</v>
      </c>
      <c r="C22" s="50" t="s">
        <v>28</v>
      </c>
      <c r="D22" s="56">
        <v>1</v>
      </c>
      <c r="E22" s="57">
        <v>0</v>
      </c>
      <c r="F22" s="57">
        <v>3400</v>
      </c>
      <c r="G22" s="58" t="s">
        <v>29</v>
      </c>
      <c r="H22" s="59"/>
    </row>
    <row r="23" spans="1:8" x14ac:dyDescent="0.2">
      <c r="A23" s="49"/>
      <c r="B23" s="60" t="s">
        <v>30</v>
      </c>
      <c r="C23" s="60" t="s">
        <v>31</v>
      </c>
      <c r="D23" s="56">
        <v>1</v>
      </c>
      <c r="E23" s="57">
        <v>3400</v>
      </c>
      <c r="F23" s="57">
        <f>F22</f>
        <v>3400</v>
      </c>
      <c r="G23" s="58" t="s">
        <v>32</v>
      </c>
      <c r="H23" s="59"/>
    </row>
    <row r="24" spans="1:8" hidden="1" x14ac:dyDescent="0.2">
      <c r="A24" s="49"/>
      <c r="B24" s="60"/>
      <c r="C24" s="60"/>
      <c r="D24" s="56"/>
      <c r="E24" s="57"/>
      <c r="F24" s="57"/>
      <c r="G24" s="58"/>
      <c r="H24" s="59"/>
    </row>
    <row r="25" spans="1:8" ht="15.75" thickBot="1" x14ac:dyDescent="0.25">
      <c r="A25" s="49"/>
      <c r="B25" s="60"/>
      <c r="C25" s="60"/>
      <c r="D25" s="56"/>
      <c r="E25" s="57"/>
      <c r="F25" s="57"/>
      <c r="G25" s="58"/>
      <c r="H25" s="59"/>
    </row>
    <row r="26" spans="1:8" ht="15.75" thickBot="1" x14ac:dyDescent="0.25">
      <c r="A26" s="37"/>
      <c r="B26" s="38"/>
      <c r="C26" s="38"/>
      <c r="D26" s="1311" t="s">
        <v>18</v>
      </c>
      <c r="E26" s="1311"/>
      <c r="F26" s="39">
        <f>E21+E22+E23+E24+E25</f>
        <v>12150</v>
      </c>
      <c r="G26" s="61" t="s">
        <v>33</v>
      </c>
      <c r="H26" s="41"/>
    </row>
    <row r="27" spans="1:8" x14ac:dyDescent="0.2">
      <c r="A27" s="62"/>
      <c r="B27" s="44"/>
      <c r="C27" s="44"/>
      <c r="D27" s="45"/>
      <c r="E27" s="46"/>
      <c r="F27" s="46"/>
      <c r="G27" s="47"/>
      <c r="H27" s="48"/>
    </row>
    <row r="28" spans="1:8" x14ac:dyDescent="0.2">
      <c r="A28" s="63" t="s">
        <v>34</v>
      </c>
      <c r="B28" s="64"/>
      <c r="C28" s="64"/>
      <c r="D28" s="65"/>
      <c r="E28" s="66" t="s">
        <v>35</v>
      </c>
      <c r="F28" s="67"/>
      <c r="G28" s="68"/>
      <c r="H28" s="69"/>
    </row>
    <row r="29" spans="1:8" x14ac:dyDescent="0.2">
      <c r="A29" s="49">
        <v>1</v>
      </c>
      <c r="B29" s="60" t="s">
        <v>36</v>
      </c>
      <c r="C29" s="60" t="s">
        <v>37</v>
      </c>
      <c r="D29" s="34">
        <v>1</v>
      </c>
      <c r="E29" s="70">
        <f>100*100</f>
        <v>10000</v>
      </c>
      <c r="F29" s="1312"/>
      <c r="G29" s="1312"/>
      <c r="H29" s="1312"/>
    </row>
    <row r="30" spans="1:8" x14ac:dyDescent="0.2">
      <c r="A30" s="71"/>
      <c r="B30" s="72"/>
      <c r="C30" s="72"/>
      <c r="D30" s="73"/>
      <c r="E30" s="73"/>
      <c r="F30" s="73"/>
      <c r="G30" s="74"/>
      <c r="H30" s="75"/>
    </row>
    <row r="31" spans="1:8" hidden="1" x14ac:dyDescent="0.2">
      <c r="A31" s="49"/>
      <c r="B31" s="60"/>
      <c r="C31" s="60"/>
      <c r="D31" s="34"/>
      <c r="E31" s="70"/>
      <c r="F31" s="1312"/>
      <c r="G31" s="1312"/>
      <c r="H31" s="1312"/>
    </row>
    <row r="32" spans="1:8" hidden="1" x14ac:dyDescent="0.2">
      <c r="A32" s="76"/>
      <c r="B32" s="77"/>
      <c r="C32" s="77"/>
      <c r="D32" s="78"/>
      <c r="E32" s="77"/>
      <c r="F32" s="79"/>
      <c r="G32" s="79"/>
      <c r="H32" s="80"/>
    </row>
    <row r="33" spans="1:8" hidden="1" x14ac:dyDescent="0.2">
      <c r="A33" s="49"/>
      <c r="B33" s="60"/>
      <c r="C33" s="60"/>
      <c r="D33" s="34"/>
      <c r="E33" s="70"/>
      <c r="F33" s="1312"/>
      <c r="G33" s="1312"/>
      <c r="H33" s="1312"/>
    </row>
    <row r="34" spans="1:8" x14ac:dyDescent="0.2">
      <c r="A34" s="76"/>
      <c r="B34" s="77"/>
      <c r="C34" s="77"/>
      <c r="D34" s="78"/>
      <c r="E34" s="77"/>
      <c r="F34" s="79"/>
      <c r="G34" s="79"/>
      <c r="H34" s="80"/>
    </row>
    <row r="35" spans="1:8" x14ac:dyDescent="0.2">
      <c r="A35" s="81"/>
      <c r="B35" s="82"/>
      <c r="C35" s="83"/>
      <c r="D35" s="84" t="s">
        <v>38</v>
      </c>
      <c r="E35" s="85">
        <f>SUM(E29:E34)</f>
        <v>10000</v>
      </c>
      <c r="F35" s="1310"/>
      <c r="G35" s="1310"/>
      <c r="H35" s="1310"/>
    </row>
    <row r="36" spans="1:8" x14ac:dyDescent="0.2">
      <c r="A36" s="86"/>
      <c r="B36" s="87"/>
      <c r="C36" s="87"/>
      <c r="D36" s="88"/>
      <c r="E36" s="88"/>
      <c r="F36" s="88"/>
      <c r="G36" s="89"/>
      <c r="H36" s="90"/>
    </row>
    <row r="37" spans="1:8" x14ac:dyDescent="0.2">
      <c r="A37" s="91"/>
      <c r="B37" s="92"/>
      <c r="C37" s="92"/>
      <c r="D37" s="92"/>
      <c r="E37" s="92"/>
      <c r="F37" s="92"/>
      <c r="G37" s="93"/>
      <c r="H37" s="94"/>
    </row>
    <row r="38" spans="1:8" x14ac:dyDescent="0.2">
      <c r="A38" s="91"/>
      <c r="B38" s="95"/>
      <c r="C38" s="96"/>
      <c r="D38" s="97" t="s">
        <v>39</v>
      </c>
      <c r="E38" s="98">
        <f>ROUND(F18/1000,3)</f>
        <v>0</v>
      </c>
      <c r="F38" s="99" t="s">
        <v>40</v>
      </c>
      <c r="G38" s="93"/>
      <c r="H38" s="94"/>
    </row>
    <row r="39" spans="1:8" x14ac:dyDescent="0.2">
      <c r="A39" s="91"/>
      <c r="B39" s="95"/>
      <c r="C39" s="100"/>
      <c r="D39" s="101" t="s">
        <v>41</v>
      </c>
      <c r="E39" s="102">
        <f>ROUND(F26/1000,3)</f>
        <v>12.15</v>
      </c>
      <c r="F39" s="103" t="s">
        <v>40</v>
      </c>
      <c r="G39" s="93"/>
      <c r="H39" s="94"/>
    </row>
    <row r="40" spans="1:8" x14ac:dyDescent="0.2">
      <c r="A40" s="91"/>
      <c r="B40" s="95"/>
      <c r="C40" s="104"/>
      <c r="D40" s="105" t="s">
        <v>42</v>
      </c>
      <c r="E40" s="106">
        <f>SUM(E38:E39)</f>
        <v>12.15</v>
      </c>
      <c r="F40" s="107" t="s">
        <v>40</v>
      </c>
      <c r="G40" s="108"/>
      <c r="H40" s="108"/>
    </row>
    <row r="41" spans="1:8" x14ac:dyDescent="0.2">
      <c r="A41" s="91"/>
      <c r="B41" s="109"/>
      <c r="C41" s="92"/>
      <c r="D41" s="92"/>
      <c r="E41" s="110"/>
      <c r="F41" s="92"/>
      <c r="G41" s="108"/>
      <c r="H41" s="108"/>
    </row>
    <row r="42" spans="1:8" x14ac:dyDescent="0.2">
      <c r="A42" s="91"/>
      <c r="B42" s="109"/>
      <c r="C42" s="92"/>
      <c r="D42" s="92"/>
      <c r="E42" s="110"/>
      <c r="F42" s="92"/>
      <c r="G42" s="108"/>
      <c r="H42" s="108"/>
    </row>
    <row r="43" spans="1:8" x14ac:dyDescent="0.2">
      <c r="A43" s="91"/>
      <c r="B43" s="109"/>
      <c r="C43" s="92"/>
      <c r="D43" s="92"/>
      <c r="E43" s="110"/>
      <c r="F43" s="92"/>
      <c r="G43" s="108"/>
      <c r="H43" s="108"/>
    </row>
    <row r="44" spans="1:8" x14ac:dyDescent="0.2">
      <c r="A44" s="91"/>
      <c r="B44" s="109"/>
      <c r="C44" s="92"/>
      <c r="D44" s="92"/>
      <c r="E44" s="110"/>
      <c r="F44" s="92"/>
      <c r="G44" s="108"/>
      <c r="H44" s="108"/>
    </row>
    <row r="45" spans="1:8" x14ac:dyDescent="0.2">
      <c r="A45" s="91"/>
      <c r="B45" s="108"/>
      <c r="C45" s="111"/>
      <c r="D45" s="112"/>
      <c r="E45" s="112"/>
      <c r="F45" s="112"/>
      <c r="G45" s="112"/>
      <c r="H45" s="108"/>
    </row>
    <row r="46" spans="1:8" x14ac:dyDescent="0.2">
      <c r="A46" s="91"/>
      <c r="B46" s="108"/>
      <c r="C46" s="111"/>
      <c r="D46" s="113"/>
      <c r="E46" s="113"/>
      <c r="F46" s="114"/>
      <c r="G46" s="1309"/>
      <c r="H46" s="108"/>
    </row>
    <row r="47" spans="1:8" x14ac:dyDescent="0.2">
      <c r="A47" s="91"/>
      <c r="B47" s="108"/>
      <c r="C47" s="111"/>
      <c r="D47" s="115"/>
      <c r="E47" s="115"/>
      <c r="F47" s="116"/>
      <c r="G47" s="117"/>
      <c r="H47" s="108"/>
    </row>
    <row r="48" spans="1:8" x14ac:dyDescent="0.2">
      <c r="A48" s="91"/>
      <c r="B48" s="108"/>
      <c r="C48" s="111"/>
      <c r="D48" s="111"/>
      <c r="E48" s="111"/>
      <c r="F48" s="92"/>
      <c r="G48" s="91"/>
      <c r="H48" s="108"/>
    </row>
    <row r="49" spans="1:8" x14ac:dyDescent="0.2">
      <c r="A49" s="91"/>
      <c r="B49" s="108"/>
      <c r="C49" s="111"/>
      <c r="D49" s="111"/>
      <c r="E49" s="111"/>
      <c r="F49" s="92"/>
      <c r="G49" s="118"/>
      <c r="H49" s="108"/>
    </row>
    <row r="50" spans="1:8" x14ac:dyDescent="0.2">
      <c r="A50" s="91"/>
      <c r="B50" s="108"/>
      <c r="C50" s="108"/>
      <c r="D50" s="108"/>
      <c r="E50" s="108"/>
      <c r="F50" s="92"/>
      <c r="G50" s="119"/>
      <c r="H50" s="108"/>
    </row>
    <row r="51" spans="1:8" x14ac:dyDescent="0.2">
      <c r="A51" s="91"/>
      <c r="B51" s="92"/>
      <c r="C51" s="119"/>
      <c r="D51" s="92"/>
      <c r="E51" s="92"/>
      <c r="F51" s="92"/>
      <c r="G51" s="119"/>
      <c r="H51" s="108"/>
    </row>
    <row r="52" spans="1:8" x14ac:dyDescent="0.2">
      <c r="A52" s="91"/>
      <c r="B52" s="92"/>
      <c r="C52" s="119"/>
      <c r="D52" s="92"/>
      <c r="E52" s="92"/>
      <c r="F52" s="92"/>
      <c r="G52" s="119"/>
      <c r="H52" s="108"/>
    </row>
  </sheetData>
  <mergeCells count="19">
    <mergeCell ref="A1:B1"/>
    <mergeCell ref="C1:H1"/>
    <mergeCell ref="A2:B2"/>
    <mergeCell ref="C2:H2"/>
    <mergeCell ref="A4:H4"/>
    <mergeCell ref="H6:H7"/>
    <mergeCell ref="H8:H9"/>
    <mergeCell ref="A11:A12"/>
    <mergeCell ref="B11:C11"/>
    <mergeCell ref="E11:E12"/>
    <mergeCell ref="F11:F12"/>
    <mergeCell ref="G11:G12"/>
    <mergeCell ref="H11:H12"/>
    <mergeCell ref="F35:H35"/>
    <mergeCell ref="D18:E18"/>
    <mergeCell ref="D26:E26"/>
    <mergeCell ref="F29:H29"/>
    <mergeCell ref="F31:H31"/>
    <mergeCell ref="F33:H33"/>
  </mergeCells>
  <printOptions horizontalCentered="1" verticalCentered="1"/>
  <pageMargins left="0.51180555555555496" right="0.51180555555555496" top="0.78749999999999998" bottom="0.78749999999999998" header="0.51180555555555496" footer="0.51180555555555496"/>
  <pageSetup paperSize="9" scale="80" firstPageNumber="0" orientation="landscape"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72"/>
  <sheetViews>
    <sheetView topLeftCell="A52" zoomScale="83" zoomScaleNormal="83" workbookViewId="0">
      <selection activeCell="P139" sqref="P139"/>
    </sheetView>
  </sheetViews>
  <sheetFormatPr defaultRowHeight="15" x14ac:dyDescent="0.2"/>
  <cols>
    <col min="1" max="2" width="7.6640625" style="902" customWidth="1"/>
    <col min="3" max="3" width="2.15234375" style="902" customWidth="1"/>
    <col min="4" max="4" width="3.765625" style="902" customWidth="1"/>
    <col min="5" max="5" width="23.67578125" style="902" customWidth="1"/>
    <col min="6" max="6" width="12.64453125" style="902" customWidth="1"/>
    <col min="7" max="7" width="8.7421875" style="902" customWidth="1"/>
    <col min="8" max="8" width="9.68359375" style="902" customWidth="1"/>
    <col min="9" max="11" width="8.7421875" style="902" customWidth="1"/>
    <col min="12" max="12" width="10.76171875" style="902" customWidth="1"/>
    <col min="13" max="1025" width="8.7421875" customWidth="1"/>
  </cols>
  <sheetData>
    <row r="1" spans="1:12" x14ac:dyDescent="0.2">
      <c r="A1" s="1474"/>
      <c r="B1" s="1474"/>
      <c r="C1" s="1474"/>
      <c r="D1" s="1474"/>
      <c r="E1" s="1474"/>
      <c r="F1" s="1474"/>
      <c r="G1" s="1474"/>
      <c r="H1" s="1474"/>
      <c r="I1" s="1474"/>
      <c r="J1" s="1474"/>
      <c r="K1" s="1474"/>
      <c r="L1" s="1474"/>
    </row>
    <row r="2" spans="1:12" x14ac:dyDescent="0.2">
      <c r="A2" s="1475" t="s">
        <v>629</v>
      </c>
      <c r="B2" s="1475"/>
      <c r="C2" s="1475"/>
      <c r="D2" s="1475"/>
      <c r="E2" s="1475"/>
      <c r="F2" s="1475"/>
      <c r="G2" s="1475"/>
      <c r="H2" s="1475"/>
      <c r="I2" s="1475"/>
      <c r="J2" s="1475"/>
      <c r="K2" s="1475"/>
      <c r="L2" s="1475"/>
    </row>
    <row r="3" spans="1:12" x14ac:dyDescent="0.2">
      <c r="A3" s="1474"/>
      <c r="B3" s="1474"/>
      <c r="C3" s="1474"/>
      <c r="D3" s="1474"/>
      <c r="E3" s="1474"/>
      <c r="F3" s="1474"/>
      <c r="G3" s="1474"/>
      <c r="H3" s="1474"/>
      <c r="I3" s="1474"/>
      <c r="J3" s="1474"/>
      <c r="K3" s="1474"/>
      <c r="L3" s="1474"/>
    </row>
    <row r="4" spans="1:12" x14ac:dyDescent="0.2">
      <c r="A4" s="1476"/>
      <c r="B4" s="1476"/>
      <c r="C4" s="1476"/>
      <c r="D4" s="1476"/>
      <c r="E4" s="1476"/>
      <c r="F4" s="1476"/>
      <c r="G4" s="1476"/>
      <c r="H4" s="1476"/>
      <c r="I4" s="1476"/>
      <c r="J4" s="1476"/>
      <c r="K4" s="1476"/>
      <c r="L4" s="1476"/>
    </row>
    <row r="5" spans="1:12" x14ac:dyDescent="0.2">
      <c r="A5" s="1477"/>
      <c r="B5" s="1477"/>
      <c r="C5" s="1477"/>
      <c r="D5" s="1477"/>
      <c r="E5" s="1477"/>
      <c r="F5" s="1477"/>
      <c r="G5" s="1477"/>
      <c r="H5" s="1477"/>
      <c r="I5" s="1477"/>
      <c r="J5" s="1477"/>
      <c r="K5" s="1477"/>
      <c r="L5" s="903" t="s">
        <v>419</v>
      </c>
    </row>
    <row r="6" spans="1:12" x14ac:dyDescent="0.2">
      <c r="A6" s="1469"/>
      <c r="B6" s="1469"/>
      <c r="C6" s="1469"/>
      <c r="D6" s="1469"/>
      <c r="E6" s="1469"/>
      <c r="F6" s="1469"/>
      <c r="G6" s="1469"/>
      <c r="H6" s="1469"/>
      <c r="I6" s="1469"/>
      <c r="J6" s="1469"/>
      <c r="K6" s="1469"/>
      <c r="L6" s="1075"/>
    </row>
    <row r="7" spans="1:12" ht="13.9" customHeight="1" x14ac:dyDescent="0.2">
      <c r="A7" s="1469"/>
      <c r="B7" s="1469"/>
      <c r="C7" s="1469"/>
      <c r="D7" s="1469"/>
      <c r="E7" s="1469"/>
      <c r="F7" s="1469"/>
      <c r="G7" s="1469"/>
      <c r="H7" s="1469"/>
      <c r="I7" s="1469"/>
      <c r="J7" s="1469"/>
      <c r="K7" s="1469"/>
      <c r="L7" s="1470" t="s">
        <v>172</v>
      </c>
    </row>
    <row r="8" spans="1:12" x14ac:dyDescent="0.2">
      <c r="A8" s="904"/>
      <c r="B8" s="905"/>
      <c r="C8" s="906"/>
      <c r="D8" s="907"/>
      <c r="E8" s="908"/>
      <c r="F8" s="906"/>
      <c r="G8" s="906"/>
      <c r="H8" s="906"/>
      <c r="I8" s="906"/>
      <c r="J8" s="906"/>
      <c r="K8" s="909"/>
      <c r="L8" s="1470"/>
    </row>
    <row r="9" spans="1:12" x14ac:dyDescent="0.2">
      <c r="A9" s="910"/>
      <c r="B9" s="910"/>
      <c r="C9" s="911"/>
      <c r="D9" s="912"/>
      <c r="E9" s="912"/>
      <c r="F9" s="913"/>
      <c r="G9" s="913"/>
      <c r="H9" s="913"/>
      <c r="I9" s="913"/>
      <c r="J9" s="913"/>
      <c r="K9" s="913"/>
      <c r="L9" s="914"/>
    </row>
    <row r="10" spans="1:12" x14ac:dyDescent="0.2">
      <c r="A10" s="1471"/>
      <c r="B10" s="1471"/>
      <c r="C10" s="1471"/>
      <c r="D10" s="1471"/>
      <c r="E10" s="1471"/>
      <c r="F10" s="1471"/>
      <c r="G10" s="1471"/>
      <c r="H10" s="1471"/>
      <c r="I10" s="1471"/>
      <c r="J10" s="1471"/>
      <c r="K10" s="1471"/>
      <c r="L10" s="1471"/>
    </row>
    <row r="11" spans="1:12" x14ac:dyDescent="0.2">
      <c r="A11" s="915"/>
      <c r="B11" s="912"/>
      <c r="C11" s="911"/>
      <c r="D11" s="912"/>
      <c r="E11" s="911"/>
      <c r="F11" s="911"/>
      <c r="G11" s="911"/>
      <c r="H11" s="911"/>
      <c r="I11" s="911"/>
      <c r="J11" s="911"/>
      <c r="K11" s="911"/>
      <c r="L11" s="916"/>
    </row>
    <row r="12" spans="1:12" x14ac:dyDescent="0.2">
      <c r="A12" s="1472" t="s">
        <v>421</v>
      </c>
      <c r="B12" s="1472"/>
      <c r="C12" s="1472"/>
      <c r="D12" s="1472"/>
      <c r="E12" s="917" t="s">
        <v>648</v>
      </c>
      <c r="F12" s="918"/>
      <c r="G12" s="918"/>
      <c r="H12" s="918"/>
      <c r="I12" s="918"/>
      <c r="J12" s="918"/>
      <c r="K12" s="918"/>
      <c r="L12" s="919"/>
    </row>
    <row r="13" spans="1:12" x14ac:dyDescent="0.2">
      <c r="A13" s="920"/>
      <c r="B13" s="907"/>
      <c r="C13" s="921"/>
      <c r="D13" s="907"/>
      <c r="E13" s="907"/>
      <c r="F13" s="906"/>
      <c r="G13" s="906"/>
      <c r="H13" s="906"/>
      <c r="I13" s="906"/>
      <c r="J13" s="906"/>
      <c r="K13" s="906"/>
      <c r="L13" s="922"/>
    </row>
    <row r="14" spans="1:12" x14ac:dyDescent="0.2">
      <c r="A14" s="913"/>
      <c r="B14" s="913"/>
      <c r="C14" s="913"/>
      <c r="D14" s="913"/>
      <c r="E14" s="913"/>
      <c r="F14" s="913"/>
      <c r="G14" s="913"/>
      <c r="H14" s="913"/>
      <c r="I14" s="913"/>
      <c r="J14" s="913"/>
      <c r="K14" s="913"/>
      <c r="L14" s="914"/>
    </row>
    <row r="15" spans="1:12" x14ac:dyDescent="0.2">
      <c r="A15" s="1473" t="s">
        <v>422</v>
      </c>
      <c r="B15" s="1473"/>
      <c r="C15" s="1473"/>
      <c r="D15" s="1473"/>
      <c r="E15" s="1473"/>
      <c r="F15" s="1473"/>
      <c r="G15" s="1473"/>
      <c r="H15" s="1473"/>
      <c r="I15" s="1473"/>
      <c r="J15" s="1473"/>
      <c r="K15" s="1473"/>
      <c r="L15" s="1473"/>
    </row>
    <row r="16" spans="1:12" x14ac:dyDescent="0.2">
      <c r="A16" s="1473"/>
      <c r="B16" s="1473"/>
      <c r="C16" s="1473"/>
      <c r="D16" s="1473"/>
      <c r="E16" s="1473"/>
      <c r="F16" s="1473"/>
      <c r="G16" s="1473"/>
      <c r="H16" s="1473"/>
      <c r="I16" s="1473"/>
      <c r="J16" s="1473"/>
      <c r="K16" s="1473"/>
      <c r="L16" s="1473"/>
    </row>
    <row r="17" spans="1:12" x14ac:dyDescent="0.2">
      <c r="A17" s="923"/>
      <c r="B17" s="923"/>
      <c r="C17" s="923"/>
      <c r="D17" s="923"/>
      <c r="E17" s="923"/>
      <c r="F17" s="923"/>
      <c r="G17" s="923"/>
      <c r="H17" s="923"/>
      <c r="I17" s="923"/>
      <c r="J17" s="923"/>
      <c r="K17" s="923"/>
      <c r="L17" s="923"/>
    </row>
    <row r="18" spans="1:12" x14ac:dyDescent="0.2">
      <c r="A18" s="924" t="s">
        <v>423</v>
      </c>
      <c r="B18" s="925"/>
      <c r="C18" s="925"/>
      <c r="D18" s="926" t="s">
        <v>172</v>
      </c>
      <c r="E18" s="1498" t="s">
        <v>517</v>
      </c>
      <c r="F18" s="1498"/>
      <c r="G18" s="1498"/>
      <c r="H18" s="1498"/>
      <c r="I18" s="1498"/>
      <c r="J18" s="1498"/>
      <c r="K18" s="928" t="s">
        <v>425</v>
      </c>
      <c r="L18" s="927" t="s">
        <v>518</v>
      </c>
    </row>
    <row r="19" spans="1:12" x14ac:dyDescent="0.2">
      <c r="A19" s="910"/>
      <c r="B19" s="910"/>
      <c r="C19" s="910"/>
      <c r="D19" s="910"/>
      <c r="E19" s="910"/>
      <c r="F19" s="910"/>
      <c r="G19" s="910"/>
      <c r="H19" s="910"/>
      <c r="I19" s="910"/>
      <c r="J19" s="910"/>
      <c r="K19" s="910"/>
      <c r="L19" s="910"/>
    </row>
    <row r="20" spans="1:12" x14ac:dyDescent="0.2">
      <c r="A20" s="1499" t="s">
        <v>434</v>
      </c>
      <c r="B20" s="1499"/>
      <c r="C20" s="1499"/>
      <c r="D20" s="1499"/>
      <c r="E20" s="1499"/>
      <c r="F20" s="1499"/>
      <c r="G20" s="1460" t="s">
        <v>166</v>
      </c>
      <c r="H20" s="1460" t="s">
        <v>362</v>
      </c>
      <c r="I20" s="1460"/>
      <c r="J20" s="1500" t="s">
        <v>483</v>
      </c>
      <c r="K20" s="1500"/>
      <c r="L20" s="1076" t="s">
        <v>484</v>
      </c>
    </row>
    <row r="21" spans="1:12" x14ac:dyDescent="0.2">
      <c r="A21" s="1499"/>
      <c r="B21" s="1499"/>
      <c r="C21" s="1499"/>
      <c r="D21" s="1499"/>
      <c r="E21" s="1499"/>
      <c r="F21" s="1499"/>
      <c r="G21" s="1460"/>
      <c r="H21" s="943" t="s">
        <v>485</v>
      </c>
      <c r="I21" s="1077" t="s">
        <v>486</v>
      </c>
      <c r="J21" s="943" t="s">
        <v>485</v>
      </c>
      <c r="K21" s="1077" t="s">
        <v>486</v>
      </c>
      <c r="L21" s="1026" t="s">
        <v>487</v>
      </c>
    </row>
    <row r="22" spans="1:12" x14ac:dyDescent="0.2">
      <c r="A22" s="1078"/>
      <c r="B22" s="1079"/>
      <c r="C22" s="1050"/>
      <c r="D22" s="1049"/>
      <c r="E22" s="932"/>
      <c r="F22" s="934"/>
      <c r="G22" s="1080"/>
      <c r="H22" s="1116"/>
      <c r="I22" s="961"/>
      <c r="J22" s="1081"/>
      <c r="K22" s="1081"/>
      <c r="L22" s="986">
        <f>ROUND((G22*H22*J22)+(G22*I22*K22),4)</f>
        <v>0</v>
      </c>
    </row>
    <row r="23" spans="1:12" x14ac:dyDescent="0.2">
      <c r="A23" s="1043"/>
      <c r="B23" s="1130"/>
      <c r="C23" s="979"/>
      <c r="D23" s="942"/>
      <c r="E23" s="910"/>
      <c r="F23" s="937"/>
      <c r="G23" s="1080"/>
      <c r="H23" s="1116"/>
      <c r="I23" s="961"/>
      <c r="J23" s="1081"/>
      <c r="K23" s="1087"/>
      <c r="L23" s="986">
        <f>ROUND((G23*H23*J23)+(G23*I23*K23),4)</f>
        <v>0</v>
      </c>
    </row>
    <row r="24" spans="1:12" x14ac:dyDescent="0.2">
      <c r="A24" s="1043"/>
      <c r="B24" s="1130"/>
      <c r="C24" s="979"/>
      <c r="D24" s="942"/>
      <c r="E24" s="910"/>
      <c r="F24" s="937"/>
      <c r="G24" s="1080"/>
      <c r="H24" s="1116"/>
      <c r="I24" s="961"/>
      <c r="J24" s="1081"/>
      <c r="K24" s="1087"/>
      <c r="L24" s="986">
        <f>ROUND((G24*H24*J24)+(G24*I24*K24),4)</f>
        <v>0</v>
      </c>
    </row>
    <row r="25" spans="1:12" x14ac:dyDescent="0.2">
      <c r="A25" s="1082"/>
      <c r="B25" s="1083"/>
      <c r="C25" s="1077"/>
      <c r="D25" s="1083"/>
      <c r="E25" s="1083"/>
      <c r="F25" s="1084"/>
      <c r="G25" s="1085"/>
      <c r="H25" s="1116"/>
      <c r="I25" s="961"/>
      <c r="J25" s="1086"/>
      <c r="K25" s="1087"/>
      <c r="L25" s="986">
        <f>ROUND((G25*H25*J25)+(G25*I25*K25),4)</f>
        <v>0</v>
      </c>
    </row>
    <row r="26" spans="1:12" x14ac:dyDescent="0.2">
      <c r="A26" s="1497" t="s">
        <v>488</v>
      </c>
      <c r="B26" s="1497"/>
      <c r="C26" s="1497"/>
      <c r="D26" s="1497"/>
      <c r="E26" s="1497"/>
      <c r="F26" s="1497"/>
      <c r="G26" s="1497"/>
      <c r="H26" s="1497"/>
      <c r="I26" s="1497"/>
      <c r="J26" s="1497"/>
      <c r="K26" s="1497"/>
      <c r="L26" s="1088">
        <f>ROUND(SUM(L22:L25),4)</f>
        <v>0</v>
      </c>
    </row>
    <row r="27" spans="1:12" x14ac:dyDescent="0.2">
      <c r="A27" s="930"/>
      <c r="B27" s="930"/>
      <c r="C27" s="930"/>
      <c r="D27" s="930"/>
      <c r="E27" s="930"/>
      <c r="F27" s="930"/>
      <c r="G27" s="930"/>
      <c r="H27" s="1023"/>
      <c r="I27" s="1023"/>
      <c r="J27" s="1023"/>
      <c r="K27" s="1023"/>
      <c r="L27" s="1023"/>
    </row>
    <row r="28" spans="1:12" ht="13.9" customHeight="1" x14ac:dyDescent="0.2">
      <c r="A28" s="1462" t="s">
        <v>447</v>
      </c>
      <c r="B28" s="1462"/>
      <c r="C28" s="1462"/>
      <c r="D28" s="1462"/>
      <c r="E28" s="1462"/>
      <c r="F28" s="1462"/>
      <c r="G28" s="1462"/>
      <c r="H28" s="1462"/>
      <c r="I28" s="1462"/>
      <c r="J28" s="1460" t="s">
        <v>166</v>
      </c>
      <c r="K28" s="1452" t="s">
        <v>489</v>
      </c>
      <c r="L28" s="1076" t="s">
        <v>449</v>
      </c>
    </row>
    <row r="29" spans="1:12" x14ac:dyDescent="0.2">
      <c r="A29" s="1462"/>
      <c r="B29" s="1462"/>
      <c r="C29" s="1462"/>
      <c r="D29" s="1462"/>
      <c r="E29" s="1462"/>
      <c r="F29" s="1462"/>
      <c r="G29" s="1462"/>
      <c r="H29" s="1462"/>
      <c r="I29" s="1462"/>
      <c r="J29" s="1460"/>
      <c r="K29" s="1452"/>
      <c r="L29" s="1026" t="s">
        <v>487</v>
      </c>
    </row>
    <row r="30" spans="1:12" x14ac:dyDescent="0.2">
      <c r="A30" s="1043"/>
      <c r="B30" s="1131"/>
      <c r="C30" s="979"/>
      <c r="D30" s="942"/>
      <c r="E30" s="942"/>
      <c r="F30" s="942"/>
      <c r="G30" s="910"/>
      <c r="H30" s="979"/>
      <c r="I30" s="1092"/>
      <c r="J30" s="1080"/>
      <c r="K30" s="1132"/>
      <c r="L30" s="954">
        <f>ROUND(J30*K30,4)</f>
        <v>0</v>
      </c>
    </row>
    <row r="31" spans="1:12" x14ac:dyDescent="0.2">
      <c r="A31" s="1043"/>
      <c r="B31" s="1130"/>
      <c r="C31" s="979"/>
      <c r="D31" s="942"/>
      <c r="E31" s="942"/>
      <c r="F31" s="942"/>
      <c r="G31" s="910"/>
      <c r="H31" s="979"/>
      <c r="I31" s="1092"/>
      <c r="J31" s="1080"/>
      <c r="K31" s="1020"/>
      <c r="L31" s="964">
        <f>ROUND(J31*K31,4)</f>
        <v>0</v>
      </c>
    </row>
    <row r="32" spans="1:12" x14ac:dyDescent="0.2">
      <c r="A32" s="1043"/>
      <c r="B32" s="1130"/>
      <c r="C32" s="979"/>
      <c r="D32" s="942"/>
      <c r="E32" s="942"/>
      <c r="F32" s="942"/>
      <c r="G32" s="910"/>
      <c r="H32" s="979"/>
      <c r="I32" s="1092"/>
      <c r="J32" s="1080"/>
      <c r="K32" s="1020"/>
      <c r="L32" s="964">
        <f>ROUND(J32*K32,4)</f>
        <v>0</v>
      </c>
    </row>
    <row r="33" spans="1:12" x14ac:dyDescent="0.2">
      <c r="A33" s="1043"/>
      <c r="B33" s="1130"/>
      <c r="C33" s="979"/>
      <c r="D33" s="942"/>
      <c r="E33" s="942"/>
      <c r="F33" s="942"/>
      <c r="G33" s="910"/>
      <c r="H33" s="979"/>
      <c r="I33" s="1092"/>
      <c r="J33" s="1080"/>
      <c r="K33" s="1020"/>
      <c r="L33" s="964">
        <f>ROUND(J33*K33,4)</f>
        <v>0</v>
      </c>
    </row>
    <row r="34" spans="1:12" x14ac:dyDescent="0.2">
      <c r="A34" s="1093"/>
      <c r="B34" s="1094"/>
      <c r="C34" s="1083"/>
      <c r="D34" s="1083"/>
      <c r="E34" s="1083"/>
      <c r="F34" s="1083"/>
      <c r="G34" s="905"/>
      <c r="H34" s="1077"/>
      <c r="I34" s="1095"/>
      <c r="J34" s="1085"/>
      <c r="K34" s="1020"/>
      <c r="L34" s="964">
        <f>ROUND(J34*K34,4)</f>
        <v>0</v>
      </c>
    </row>
    <row r="35" spans="1:12" x14ac:dyDescent="0.2">
      <c r="A35" s="1497" t="s">
        <v>490</v>
      </c>
      <c r="B35" s="1497"/>
      <c r="C35" s="1497"/>
      <c r="D35" s="1497"/>
      <c r="E35" s="1497"/>
      <c r="F35" s="1497"/>
      <c r="G35" s="1497"/>
      <c r="H35" s="1497"/>
      <c r="I35" s="1497"/>
      <c r="J35" s="1497"/>
      <c r="K35" s="1497"/>
      <c r="L35" s="1088">
        <f>ROUND(SUM(L30:L34),4)</f>
        <v>0</v>
      </c>
    </row>
    <row r="36" spans="1:12" x14ac:dyDescent="0.2">
      <c r="A36" s="930"/>
      <c r="B36" s="930"/>
      <c r="C36" s="930"/>
      <c r="D36" s="930"/>
      <c r="E36" s="930"/>
      <c r="F36" s="930"/>
      <c r="G36" s="930"/>
      <c r="H36" s="930"/>
      <c r="I36" s="930"/>
      <c r="J36" s="1023"/>
      <c r="K36" s="1023"/>
      <c r="L36" s="1099"/>
    </row>
    <row r="37" spans="1:12" x14ac:dyDescent="0.2">
      <c r="A37" s="930"/>
      <c r="B37" s="930"/>
      <c r="C37" s="930"/>
      <c r="D37" s="930"/>
      <c r="E37" s="930"/>
      <c r="F37" s="930"/>
      <c r="G37" s="930"/>
      <c r="H37" s="930"/>
      <c r="I37" s="930"/>
      <c r="J37" s="1023"/>
      <c r="K37" s="1100" t="s">
        <v>491</v>
      </c>
      <c r="L37" s="1101">
        <f>L26+L35</f>
        <v>0</v>
      </c>
    </row>
    <row r="38" spans="1:12" x14ac:dyDescent="0.2">
      <c r="A38" s="1102" t="s">
        <v>492</v>
      </c>
      <c r="B38" s="930"/>
      <c r="C38" s="930"/>
      <c r="D38" s="930"/>
      <c r="E38" s="930"/>
      <c r="F38" s="1103">
        <v>1</v>
      </c>
      <c r="G38" s="1104" t="str">
        <f>L18</f>
        <v>mês</v>
      </c>
      <c r="H38" s="1102"/>
      <c r="I38" s="930"/>
      <c r="J38" s="1105"/>
      <c r="K38" s="1106" t="s">
        <v>493</v>
      </c>
      <c r="L38" s="1035">
        <f>ROUND(L37/F38,4)</f>
        <v>0</v>
      </c>
    </row>
    <row r="39" spans="1:12" x14ac:dyDescent="0.2">
      <c r="A39" s="1102"/>
      <c r="B39" s="930" t="s">
        <v>494</v>
      </c>
      <c r="C39" s="930"/>
      <c r="D39" s="930"/>
      <c r="E39" s="930"/>
      <c r="F39" s="1103"/>
      <c r="G39" s="1104"/>
      <c r="H39" s="1102"/>
      <c r="I39" s="930"/>
      <c r="J39" s="1105"/>
      <c r="K39" s="1100" t="s">
        <v>495</v>
      </c>
      <c r="L39" s="1035">
        <f>ROUND(L38*F39,4)</f>
        <v>0</v>
      </c>
    </row>
    <row r="40" spans="1:12" x14ac:dyDescent="0.2">
      <c r="A40" s="1102"/>
      <c r="B40" s="930" t="s">
        <v>496</v>
      </c>
      <c r="C40" s="930"/>
      <c r="D40" s="930"/>
      <c r="E40" s="930"/>
      <c r="F40" s="1103"/>
      <c r="G40" s="1104"/>
      <c r="H40" s="1105"/>
      <c r="I40" s="1107"/>
      <c r="J40" s="1023"/>
      <c r="K40" s="1100" t="s">
        <v>497</v>
      </c>
      <c r="L40" s="1035">
        <f>ROUND(L38*F40,4)</f>
        <v>0</v>
      </c>
    </row>
    <row r="41" spans="1:12" x14ac:dyDescent="0.2">
      <c r="A41" s="930"/>
      <c r="B41" s="930"/>
      <c r="C41" s="930"/>
      <c r="D41" s="930"/>
      <c r="E41" s="930"/>
      <c r="F41" s="930"/>
      <c r="G41" s="930"/>
      <c r="H41" s="930"/>
      <c r="I41" s="930"/>
      <c r="J41" s="1023"/>
      <c r="K41" s="1023"/>
      <c r="L41" s="1099"/>
    </row>
    <row r="42" spans="1:12" x14ac:dyDescent="0.2">
      <c r="A42" s="1462" t="s">
        <v>498</v>
      </c>
      <c r="B42" s="1462"/>
      <c r="C42" s="1462"/>
      <c r="D42" s="1462"/>
      <c r="E42" s="1462"/>
      <c r="F42" s="1462"/>
      <c r="G42" s="1462"/>
      <c r="H42" s="1462"/>
      <c r="I42" s="1456" t="s">
        <v>499</v>
      </c>
      <c r="J42" s="1456"/>
      <c r="K42" s="1456"/>
      <c r="L42" s="1108">
        <f>ROUND(SUM(L38:L41),4)</f>
        <v>0</v>
      </c>
    </row>
    <row r="43" spans="1:12" x14ac:dyDescent="0.2">
      <c r="A43" s="910"/>
      <c r="B43" s="910"/>
      <c r="C43" s="910"/>
      <c r="D43" s="910"/>
      <c r="E43" s="910"/>
      <c r="F43" s="910"/>
      <c r="G43" s="1109"/>
      <c r="H43" s="1109"/>
      <c r="I43" s="933"/>
      <c r="J43" s="933"/>
      <c r="K43" s="933"/>
      <c r="L43" s="910"/>
    </row>
    <row r="44" spans="1:12" x14ac:dyDescent="0.2">
      <c r="A44" s="1462" t="s">
        <v>500</v>
      </c>
      <c r="B44" s="1462"/>
      <c r="C44" s="1462"/>
      <c r="D44" s="1462"/>
      <c r="E44" s="1462"/>
      <c r="F44" s="1462"/>
      <c r="G44" s="1462"/>
      <c r="H44" s="1460" t="s">
        <v>166</v>
      </c>
      <c r="I44" s="1460"/>
      <c r="J44" s="1460" t="s">
        <v>165</v>
      </c>
      <c r="K44" s="1076" t="s">
        <v>501</v>
      </c>
      <c r="L44" s="1076" t="s">
        <v>484</v>
      </c>
    </row>
    <row r="45" spans="1:12" x14ac:dyDescent="0.2">
      <c r="A45" s="1462"/>
      <c r="B45" s="1462"/>
      <c r="C45" s="1462"/>
      <c r="D45" s="1462"/>
      <c r="E45" s="1462"/>
      <c r="F45" s="1462"/>
      <c r="G45" s="1462"/>
      <c r="H45" s="1460"/>
      <c r="I45" s="1460"/>
      <c r="J45" s="1460"/>
      <c r="K45" s="1110" t="s">
        <v>451</v>
      </c>
      <c r="L45" s="1026" t="s">
        <v>451</v>
      </c>
    </row>
    <row r="46" spans="1:12" x14ac:dyDescent="0.2">
      <c r="A46" s="1043" t="s">
        <v>379</v>
      </c>
      <c r="B46" s="1131" t="s">
        <v>747</v>
      </c>
      <c r="C46" s="979" t="s">
        <v>442</v>
      </c>
      <c r="D46" s="942" t="s">
        <v>748</v>
      </c>
      <c r="E46" s="942"/>
      <c r="F46" s="942"/>
      <c r="G46" s="937"/>
      <c r="H46" s="1495">
        <v>1</v>
      </c>
      <c r="I46" s="1495"/>
      <c r="J46" s="1113" t="s">
        <v>518</v>
      </c>
      <c r="K46" s="1020">
        <v>1810.16</v>
      </c>
      <c r="L46" s="986">
        <f>ROUND(K46*H46,4)</f>
        <v>1810.16</v>
      </c>
    </row>
    <row r="47" spans="1:12" x14ac:dyDescent="0.2">
      <c r="A47" s="1043"/>
      <c r="B47" s="1133"/>
      <c r="C47" s="942"/>
      <c r="D47" s="910"/>
      <c r="E47" s="942"/>
      <c r="F47" s="942"/>
      <c r="G47" s="937"/>
      <c r="H47" s="1495"/>
      <c r="I47" s="1495"/>
      <c r="J47" s="1113"/>
      <c r="K47" s="1020"/>
      <c r="L47" s="986">
        <f>ROUND(K47*H47,4)</f>
        <v>0</v>
      </c>
    </row>
    <row r="48" spans="1:12" x14ac:dyDescent="0.2">
      <c r="A48" s="1043"/>
      <c r="B48" s="1130"/>
      <c r="C48" s="979"/>
      <c r="D48" s="1479"/>
      <c r="E48" s="1479"/>
      <c r="F48" s="1479"/>
      <c r="G48" s="1479"/>
      <c r="H48" s="1496"/>
      <c r="I48" s="1496"/>
      <c r="J48" s="1116"/>
      <c r="K48" s="1044"/>
      <c r="L48" s="986">
        <f>ROUND(K48*H48,4)</f>
        <v>0</v>
      </c>
    </row>
    <row r="49" spans="1:12" x14ac:dyDescent="0.2">
      <c r="A49" s="1504"/>
      <c r="B49" s="1504"/>
      <c r="C49" s="979"/>
      <c r="D49" s="942"/>
      <c r="E49" s="942"/>
      <c r="F49" s="942"/>
      <c r="G49" s="937"/>
      <c r="H49" s="1496"/>
      <c r="I49" s="1496"/>
      <c r="J49" s="1116"/>
      <c r="K49" s="1044"/>
      <c r="L49" s="986">
        <f>ROUND(K49*H49,4)</f>
        <v>0</v>
      </c>
    </row>
    <row r="50" spans="1:12" x14ac:dyDescent="0.2">
      <c r="A50" s="1114"/>
      <c r="B50" s="979"/>
      <c r="C50" s="979"/>
      <c r="D50" s="1083"/>
      <c r="E50" s="1083"/>
      <c r="F50" s="1083"/>
      <c r="G50" s="1115"/>
      <c r="H50" s="1496"/>
      <c r="I50" s="1496"/>
      <c r="J50" s="1116"/>
      <c r="K50" s="1044"/>
      <c r="L50" s="986">
        <f>ROUND(K50*H50,4)</f>
        <v>0</v>
      </c>
    </row>
    <row r="51" spans="1:12" x14ac:dyDescent="0.2">
      <c r="A51" s="1454" t="s">
        <v>502</v>
      </c>
      <c r="B51" s="1454"/>
      <c r="C51" s="1454"/>
      <c r="D51" s="1454"/>
      <c r="E51" s="1454"/>
      <c r="F51" s="1454"/>
      <c r="G51" s="1454"/>
      <c r="H51" s="1454"/>
      <c r="I51" s="1454"/>
      <c r="J51" s="1454"/>
      <c r="K51" s="1454"/>
      <c r="L51" s="1108">
        <f>ROUND(SUM(L46:L50),4)</f>
        <v>1810.16</v>
      </c>
    </row>
    <row r="52" spans="1:12" x14ac:dyDescent="0.2">
      <c r="A52" s="932"/>
      <c r="B52" s="932"/>
      <c r="C52" s="932"/>
      <c r="D52" s="932"/>
      <c r="E52" s="932"/>
      <c r="F52" s="932"/>
      <c r="G52" s="932"/>
      <c r="H52" s="932"/>
      <c r="I52" s="932"/>
      <c r="J52" s="910"/>
      <c r="K52" s="1117"/>
      <c r="L52" s="1118"/>
    </row>
    <row r="53" spans="1:12" ht="13.9" customHeight="1" x14ac:dyDescent="0.2">
      <c r="A53" s="1462" t="s">
        <v>503</v>
      </c>
      <c r="B53" s="1462"/>
      <c r="C53" s="1462"/>
      <c r="D53" s="1462"/>
      <c r="E53" s="1462"/>
      <c r="F53" s="1462"/>
      <c r="G53" s="1452" t="s">
        <v>504</v>
      </c>
      <c r="H53" s="1460" t="s">
        <v>505</v>
      </c>
      <c r="I53" s="1460"/>
      <c r="J53" s="1460"/>
      <c r="K53" s="1460"/>
      <c r="L53" s="1460" t="s">
        <v>506</v>
      </c>
    </row>
    <row r="54" spans="1:12" x14ac:dyDescent="0.2">
      <c r="A54" s="1462"/>
      <c r="B54" s="1462"/>
      <c r="C54" s="1462"/>
      <c r="D54" s="1462"/>
      <c r="E54" s="1462"/>
      <c r="F54" s="1462"/>
      <c r="G54" s="1452"/>
      <c r="H54" s="944" t="s">
        <v>112</v>
      </c>
      <c r="I54" s="1095" t="s">
        <v>380</v>
      </c>
      <c r="J54" s="1026" t="s">
        <v>383</v>
      </c>
      <c r="K54" s="1110" t="s">
        <v>385</v>
      </c>
      <c r="L54" s="1460"/>
    </row>
    <row r="55" spans="1:12" x14ac:dyDescent="0.2">
      <c r="A55" s="1462"/>
      <c r="B55" s="1462"/>
      <c r="C55" s="1462"/>
      <c r="D55" s="1462"/>
      <c r="E55" s="1462"/>
      <c r="F55" s="1462"/>
      <c r="G55" s="1452"/>
      <c r="H55" s="943" t="s">
        <v>507</v>
      </c>
      <c r="I55" s="1119"/>
      <c r="J55" s="1119"/>
      <c r="K55" s="1119"/>
      <c r="L55" s="1460"/>
    </row>
    <row r="56" spans="1:12" x14ac:dyDescent="0.2">
      <c r="A56" s="1488"/>
      <c r="B56" s="1489"/>
      <c r="C56" s="1490" t="s">
        <v>442</v>
      </c>
      <c r="D56" s="1502"/>
      <c r="E56" s="1502"/>
      <c r="F56" s="1503"/>
      <c r="G56" s="1493">
        <v>0</v>
      </c>
      <c r="H56" s="1120" t="s">
        <v>508</v>
      </c>
      <c r="I56" s="1121"/>
      <c r="J56" s="1121"/>
      <c r="K56" s="1121"/>
      <c r="L56" s="1494">
        <f>ROUND(G56*($I$55*I57+$J$55*J57+$K$55*K57),4)</f>
        <v>0</v>
      </c>
    </row>
    <row r="57" spans="1:12" x14ac:dyDescent="0.2">
      <c r="A57" s="1488"/>
      <c r="B57" s="1489"/>
      <c r="C57" s="1490"/>
      <c r="D57" s="1502"/>
      <c r="E57" s="1502"/>
      <c r="F57" s="1503"/>
      <c r="G57" s="1493"/>
      <c r="H57" s="1122" t="s">
        <v>509</v>
      </c>
      <c r="I57" s="1123"/>
      <c r="J57" s="1123"/>
      <c r="K57" s="1123"/>
      <c r="L57" s="1494"/>
    </row>
    <row r="58" spans="1:12" x14ac:dyDescent="0.2">
      <c r="A58" s="1114"/>
      <c r="B58" s="979"/>
      <c r="C58" s="979"/>
      <c r="D58" s="1083"/>
      <c r="E58" s="1083"/>
      <c r="F58" s="1083"/>
      <c r="G58" s="1135"/>
      <c r="H58" s="1136"/>
      <c r="I58" s="1136"/>
      <c r="J58" s="1137"/>
      <c r="K58" s="1044"/>
      <c r="L58" s="1138">
        <f>G58*H58*K58</f>
        <v>0</v>
      </c>
    </row>
    <row r="59" spans="1:12" x14ac:dyDescent="0.2">
      <c r="A59" s="1454" t="s">
        <v>510</v>
      </c>
      <c r="B59" s="1454"/>
      <c r="C59" s="1454"/>
      <c r="D59" s="1454"/>
      <c r="E59" s="1454"/>
      <c r="F59" s="1454"/>
      <c r="G59" s="1454"/>
      <c r="H59" s="1454"/>
      <c r="I59" s="1454"/>
      <c r="J59" s="1454"/>
      <c r="K59" s="1454"/>
      <c r="L59" s="1025">
        <f>ROUND(SUM(L56:L58),4)</f>
        <v>0</v>
      </c>
    </row>
    <row r="60" spans="1:12" x14ac:dyDescent="0.2">
      <c r="A60" s="1049"/>
      <c r="B60" s="1049"/>
      <c r="C60" s="1049"/>
      <c r="D60" s="1049"/>
      <c r="E60" s="1049"/>
      <c r="F60" s="1049"/>
      <c r="G60" s="932"/>
      <c r="H60" s="1050"/>
      <c r="I60" s="1050"/>
      <c r="J60" s="1051"/>
      <c r="K60" s="1052"/>
      <c r="L60" s="1125"/>
    </row>
    <row r="61" spans="1:12" x14ac:dyDescent="0.2">
      <c r="A61" s="1454" t="s">
        <v>511</v>
      </c>
      <c r="B61" s="1454"/>
      <c r="C61" s="1454"/>
      <c r="D61" s="1454"/>
      <c r="E61" s="1454"/>
      <c r="F61" s="1454"/>
      <c r="G61" s="1454"/>
      <c r="H61" s="1454"/>
      <c r="I61" s="1454"/>
      <c r="J61" s="1454"/>
      <c r="K61" s="1454"/>
      <c r="L61" s="1025">
        <f>ROUND(L42+L51+L59,4)</f>
        <v>1810.16</v>
      </c>
    </row>
    <row r="62" spans="1:12" x14ac:dyDescent="0.2">
      <c r="A62" s="1455" t="s">
        <v>461</v>
      </c>
      <c r="B62" s="1455"/>
      <c r="C62" s="1455"/>
      <c r="D62" s="1455"/>
      <c r="E62" s="1455"/>
      <c r="F62" s="1455"/>
      <c r="G62" s="1455"/>
      <c r="H62" s="1455"/>
      <c r="I62" s="1455"/>
      <c r="J62" s="1455"/>
      <c r="K62" s="1055">
        <v>0.25569999999999998</v>
      </c>
      <c r="L62" s="1056">
        <f>ROUND(L61*K62,4)</f>
        <v>462.85789999999997</v>
      </c>
    </row>
    <row r="63" spans="1:12" x14ac:dyDescent="0.2">
      <c r="A63" s="1456" t="s">
        <v>512</v>
      </c>
      <c r="B63" s="1456"/>
      <c r="C63" s="1456"/>
      <c r="D63" s="1456"/>
      <c r="E63" s="1456"/>
      <c r="F63" s="1456"/>
      <c r="G63" s="1456"/>
      <c r="H63" s="1456"/>
      <c r="I63" s="1456"/>
      <c r="J63" s="1456"/>
      <c r="K63" s="1456"/>
      <c r="L63" s="1126">
        <f>ROUND(L61+L62,2)</f>
        <v>2273.02</v>
      </c>
    </row>
    <row r="64" spans="1:12" x14ac:dyDescent="0.2">
      <c r="A64" s="930"/>
      <c r="B64" s="930"/>
      <c r="C64" s="930"/>
      <c r="D64" s="930"/>
      <c r="E64" s="930"/>
      <c r="F64" s="930"/>
      <c r="G64" s="930"/>
      <c r="H64" s="930"/>
      <c r="I64" s="930"/>
      <c r="J64" s="930"/>
      <c r="K64" s="930"/>
      <c r="L64" s="930"/>
    </row>
    <row r="65" spans="1:12" x14ac:dyDescent="0.2">
      <c r="A65" s="1059" t="s">
        <v>463</v>
      </c>
      <c r="B65" s="1060"/>
      <c r="C65" s="933" t="s">
        <v>467</v>
      </c>
      <c r="D65" s="932" t="s">
        <v>519</v>
      </c>
      <c r="E65" s="1139"/>
      <c r="F65" s="1139"/>
      <c r="G65" s="1139"/>
      <c r="H65" s="1139"/>
      <c r="I65" s="1139"/>
      <c r="J65" s="1139"/>
      <c r="K65" s="1139"/>
      <c r="L65" s="1140"/>
    </row>
    <row r="66" spans="1:12" x14ac:dyDescent="0.2">
      <c r="A66" s="1065"/>
      <c r="B66" s="1067"/>
      <c r="C66" s="1109" t="s">
        <v>469</v>
      </c>
      <c r="D66" s="910" t="s">
        <v>749</v>
      </c>
      <c r="E66" s="1141"/>
      <c r="F66" s="1141"/>
      <c r="G66" s="1141"/>
      <c r="H66" s="1141"/>
      <c r="I66" s="1141"/>
      <c r="J66" s="1141"/>
      <c r="K66" s="1141"/>
      <c r="L66" s="1142"/>
    </row>
    <row r="67" spans="1:12" x14ac:dyDescent="0.2">
      <c r="A67" s="1071"/>
      <c r="B67" s="1129"/>
      <c r="C67" s="1073"/>
      <c r="D67" s="1073"/>
      <c r="E67" s="1073"/>
      <c r="F67" s="1073"/>
      <c r="G67" s="1073"/>
      <c r="H67" s="1073"/>
      <c r="I67" s="1073"/>
      <c r="J67" s="1073"/>
      <c r="K67" s="1073"/>
      <c r="L67" s="1074"/>
    </row>
    <row r="72" spans="1:12" ht="23.25" customHeight="1" x14ac:dyDescent="0.2"/>
  </sheetData>
  <mergeCells count="49">
    <mergeCell ref="A1:L1"/>
    <mergeCell ref="A2:L2"/>
    <mergeCell ref="A3:L3"/>
    <mergeCell ref="A4:L4"/>
    <mergeCell ref="A5:K5"/>
    <mergeCell ref="A6:K6"/>
    <mergeCell ref="A7:K7"/>
    <mergeCell ref="L7:L8"/>
    <mergeCell ref="A10:L10"/>
    <mergeCell ref="A12:D12"/>
    <mergeCell ref="A15:L16"/>
    <mergeCell ref="E18:J18"/>
    <mergeCell ref="A20:F21"/>
    <mergeCell ref="G20:G21"/>
    <mergeCell ref="H20:I20"/>
    <mergeCell ref="J20:K20"/>
    <mergeCell ref="A26:K26"/>
    <mergeCell ref="A28:I29"/>
    <mergeCell ref="J28:J29"/>
    <mergeCell ref="K28:K29"/>
    <mergeCell ref="A35:K35"/>
    <mergeCell ref="A42:H42"/>
    <mergeCell ref="I42:K42"/>
    <mergeCell ref="A44:G45"/>
    <mergeCell ref="H44:I45"/>
    <mergeCell ref="J44:J45"/>
    <mergeCell ref="H46:I46"/>
    <mergeCell ref="H47:I47"/>
    <mergeCell ref="D48:G48"/>
    <mergeCell ref="H48:I48"/>
    <mergeCell ref="A49:B49"/>
    <mergeCell ref="H49:I49"/>
    <mergeCell ref="H50:I50"/>
    <mergeCell ref="A51:K51"/>
    <mergeCell ref="A53:F55"/>
    <mergeCell ref="G53:G55"/>
    <mergeCell ref="H53:K53"/>
    <mergeCell ref="A59:K59"/>
    <mergeCell ref="A61:K61"/>
    <mergeCell ref="A62:J62"/>
    <mergeCell ref="A63:K63"/>
    <mergeCell ref="L53:L55"/>
    <mergeCell ref="A56:A57"/>
    <mergeCell ref="B56:B57"/>
    <mergeCell ref="C56:C57"/>
    <mergeCell ref="D56:E57"/>
    <mergeCell ref="F56:F57"/>
    <mergeCell ref="G56:G57"/>
    <mergeCell ref="L56:L57"/>
  </mergeCells>
  <dataValidations count="1">
    <dataValidation allowBlank="1" showInputMessage="1" showErrorMessage="1" prompt="Clique duas vezes sobre o número do item para ser direcionado à Planilha Orçamentária." sqref="D18" xr:uid="{00000000-0002-0000-0900-000000000000}">
      <formula1>0</formula1>
      <formula2>0</formula2>
    </dataValidation>
  </dataValidations>
  <printOptions horizontalCentered="1" verticalCentered="1"/>
  <pageMargins left="0.51180555555555496" right="0.51180555555555496" top="0.78749999999999998" bottom="0.78749999999999998" header="0.51180555555555496" footer="0.51180555555555496"/>
  <pageSetup paperSize="9" scale="75" firstPageNumber="0"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83"/>
  <sheetViews>
    <sheetView topLeftCell="A43" zoomScale="83" zoomScaleNormal="83" workbookViewId="0">
      <selection activeCell="P139" sqref="P139"/>
    </sheetView>
  </sheetViews>
  <sheetFormatPr defaultRowHeight="15" x14ac:dyDescent="0.2"/>
  <cols>
    <col min="1" max="2" width="7.6640625" style="902" customWidth="1"/>
    <col min="3" max="3" width="2.15234375" style="902" customWidth="1"/>
    <col min="4" max="4" width="3.765625" style="902" customWidth="1"/>
    <col min="5" max="5" width="23.67578125" style="902" customWidth="1"/>
    <col min="6" max="6" width="12.64453125" style="902" customWidth="1"/>
    <col min="7" max="7" width="8.7421875" style="902" customWidth="1"/>
    <col min="8" max="9" width="8.33984375" style="902" customWidth="1"/>
    <col min="10" max="10" width="8.7421875" style="902" customWidth="1"/>
    <col min="11" max="11" width="9.68359375" style="902" customWidth="1"/>
    <col min="12" max="12" width="10.76171875" style="902" customWidth="1"/>
    <col min="13" max="1025" width="8.7421875" customWidth="1"/>
  </cols>
  <sheetData>
    <row r="1" spans="1:12" ht="9" customHeight="1" x14ac:dyDescent="0.2">
      <c r="A1" s="1474"/>
      <c r="B1" s="1474"/>
      <c r="C1" s="1474"/>
      <c r="D1" s="1474"/>
      <c r="E1" s="1474"/>
      <c r="F1" s="1474"/>
      <c r="G1" s="1474"/>
      <c r="H1" s="1474"/>
      <c r="I1" s="1474"/>
      <c r="J1" s="1474"/>
      <c r="K1" s="1474"/>
      <c r="L1" s="1474"/>
    </row>
    <row r="2" spans="1:12" x14ac:dyDescent="0.2">
      <c r="A2" s="1475" t="s">
        <v>629</v>
      </c>
      <c r="B2" s="1475"/>
      <c r="C2" s="1475"/>
      <c r="D2" s="1475"/>
      <c r="E2" s="1475"/>
      <c r="F2" s="1475"/>
      <c r="G2" s="1475"/>
      <c r="H2" s="1475"/>
      <c r="I2" s="1475"/>
      <c r="J2" s="1475"/>
      <c r="K2" s="1475"/>
      <c r="L2" s="1475"/>
    </row>
    <row r="3" spans="1:12" ht="9" customHeight="1" x14ac:dyDescent="0.2">
      <c r="A3" s="1474"/>
      <c r="B3" s="1474"/>
      <c r="C3" s="1474"/>
      <c r="D3" s="1474"/>
      <c r="E3" s="1474"/>
      <c r="F3" s="1474"/>
      <c r="G3" s="1474"/>
      <c r="H3" s="1474"/>
      <c r="I3" s="1474"/>
      <c r="J3" s="1474"/>
      <c r="K3" s="1474"/>
      <c r="L3" s="1474"/>
    </row>
    <row r="4" spans="1:12" ht="9" customHeight="1" x14ac:dyDescent="0.2">
      <c r="A4" s="1476"/>
      <c r="B4" s="1476"/>
      <c r="C4" s="1476"/>
      <c r="D4" s="1476"/>
      <c r="E4" s="1476"/>
      <c r="F4" s="1476"/>
      <c r="G4" s="1476"/>
      <c r="H4" s="1476"/>
      <c r="I4" s="1476"/>
      <c r="J4" s="1476"/>
      <c r="K4" s="1476"/>
      <c r="L4" s="1476"/>
    </row>
    <row r="5" spans="1:12" x14ac:dyDescent="0.2">
      <c r="A5" s="1477"/>
      <c r="B5" s="1477"/>
      <c r="C5" s="1477"/>
      <c r="D5" s="1477"/>
      <c r="E5" s="1477"/>
      <c r="F5" s="1477"/>
      <c r="G5" s="1477"/>
      <c r="H5" s="1477"/>
      <c r="I5" s="1477"/>
      <c r="J5" s="1477"/>
      <c r="K5" s="1477"/>
      <c r="L5" s="903" t="s">
        <v>419</v>
      </c>
    </row>
    <row r="6" spans="1:12" ht="9" customHeight="1" x14ac:dyDescent="0.2">
      <c r="A6" s="1516"/>
      <c r="B6" s="1516"/>
      <c r="C6" s="1516"/>
      <c r="D6" s="1516"/>
      <c r="E6" s="1516"/>
      <c r="F6" s="1516"/>
      <c r="G6" s="1516"/>
      <c r="H6" s="1516"/>
      <c r="I6" s="1516"/>
      <c r="J6" s="1516"/>
      <c r="K6" s="1516"/>
      <c r="L6" s="1075"/>
    </row>
    <row r="7" spans="1:12" ht="13.9" customHeight="1" x14ac:dyDescent="0.2">
      <c r="A7" s="1516"/>
      <c r="B7" s="1516"/>
      <c r="C7" s="1516"/>
      <c r="D7" s="1516"/>
      <c r="E7" s="1516"/>
      <c r="F7" s="1516"/>
      <c r="G7" s="1516"/>
      <c r="H7" s="1516"/>
      <c r="I7" s="1516"/>
      <c r="J7" s="1516"/>
      <c r="K7" s="1516"/>
      <c r="L7" s="1470" t="s">
        <v>520</v>
      </c>
    </row>
    <row r="8" spans="1:12" x14ac:dyDescent="0.2">
      <c r="A8" s="904"/>
      <c r="B8" s="905"/>
      <c r="C8" s="906"/>
      <c r="D8" s="907"/>
      <c r="E8" s="908"/>
      <c r="F8" s="906"/>
      <c r="G8" s="906"/>
      <c r="H8" s="906"/>
      <c r="I8" s="906"/>
      <c r="J8" s="906"/>
      <c r="K8" s="909"/>
      <c r="L8" s="1470"/>
    </row>
    <row r="9" spans="1:12" x14ac:dyDescent="0.2">
      <c r="A9" s="910"/>
      <c r="B9" s="910"/>
      <c r="C9" s="911"/>
      <c r="D9" s="912"/>
      <c r="E9" s="912"/>
      <c r="F9" s="913"/>
      <c r="G9" s="913"/>
      <c r="H9" s="913"/>
      <c r="I9" s="913"/>
      <c r="J9" s="913"/>
      <c r="K9" s="913"/>
      <c r="L9" s="914"/>
    </row>
    <row r="10" spans="1:12" ht="9" customHeight="1" x14ac:dyDescent="0.2">
      <c r="A10" s="1471"/>
      <c r="B10" s="1471"/>
      <c r="C10" s="1471"/>
      <c r="D10" s="1471"/>
      <c r="E10" s="1471"/>
      <c r="F10" s="1471"/>
      <c r="G10" s="1471"/>
      <c r="H10" s="1471"/>
      <c r="I10" s="1471"/>
      <c r="J10" s="1471"/>
      <c r="K10" s="1471"/>
      <c r="L10" s="1471"/>
    </row>
    <row r="11" spans="1:12" ht="9" customHeight="1" x14ac:dyDescent="0.2">
      <c r="A11" s="915"/>
      <c r="B11" s="912"/>
      <c r="C11" s="911"/>
      <c r="D11" s="912"/>
      <c r="E11" s="911"/>
      <c r="F11" s="911"/>
      <c r="G11" s="911"/>
      <c r="H11" s="911"/>
      <c r="I11" s="911"/>
      <c r="J11" s="911"/>
      <c r="K11" s="911"/>
      <c r="L11" s="916"/>
    </row>
    <row r="12" spans="1:12" x14ac:dyDescent="0.2">
      <c r="A12" s="1472" t="s">
        <v>421</v>
      </c>
      <c r="B12" s="1472"/>
      <c r="C12" s="1472"/>
      <c r="D12" s="1472"/>
      <c r="E12" s="917" t="s">
        <v>648</v>
      </c>
      <c r="F12" s="918"/>
      <c r="G12" s="918"/>
      <c r="H12" s="918"/>
      <c r="I12" s="918"/>
      <c r="J12" s="918"/>
      <c r="K12" s="918"/>
      <c r="L12" s="919"/>
    </row>
    <row r="13" spans="1:12" x14ac:dyDescent="0.2">
      <c r="A13" s="920"/>
      <c r="B13" s="907"/>
      <c r="C13" s="921"/>
      <c r="D13" s="907"/>
      <c r="E13" s="907"/>
      <c r="F13" s="906"/>
      <c r="G13" s="906"/>
      <c r="H13" s="906"/>
      <c r="I13" s="906"/>
      <c r="J13" s="906"/>
      <c r="K13" s="906"/>
      <c r="L13" s="922"/>
    </row>
    <row r="14" spans="1:12" x14ac:dyDescent="0.2">
      <c r="A14" s="913"/>
      <c r="B14" s="913"/>
      <c r="C14" s="913"/>
      <c r="D14" s="913"/>
      <c r="E14" s="913"/>
      <c r="F14" s="913"/>
      <c r="G14" s="913"/>
      <c r="H14" s="913"/>
      <c r="I14" s="913"/>
      <c r="J14" s="913"/>
      <c r="K14" s="913"/>
      <c r="L14" s="914"/>
    </row>
    <row r="15" spans="1:12" x14ac:dyDescent="0.2">
      <c r="A15" s="1473" t="s">
        <v>422</v>
      </c>
      <c r="B15" s="1473"/>
      <c r="C15" s="1473"/>
      <c r="D15" s="1473"/>
      <c r="E15" s="1473"/>
      <c r="F15" s="1473"/>
      <c r="G15" s="1473"/>
      <c r="H15" s="1473"/>
      <c r="I15" s="1473"/>
      <c r="J15" s="1473"/>
      <c r="K15" s="1473"/>
      <c r="L15" s="1473"/>
    </row>
    <row r="16" spans="1:12" x14ac:dyDescent="0.2">
      <c r="A16" s="1473"/>
      <c r="B16" s="1473"/>
      <c r="C16" s="1473"/>
      <c r="D16" s="1473"/>
      <c r="E16" s="1473"/>
      <c r="F16" s="1473"/>
      <c r="G16" s="1473"/>
      <c r="H16" s="1473"/>
      <c r="I16" s="1473"/>
      <c r="J16" s="1473"/>
      <c r="K16" s="1473"/>
      <c r="L16" s="1473"/>
    </row>
    <row r="17" spans="1:12" ht="9" customHeight="1" x14ac:dyDescent="0.2">
      <c r="A17" s="923"/>
      <c r="B17" s="923"/>
      <c r="C17" s="923"/>
      <c r="D17" s="923"/>
      <c r="E17" s="923"/>
      <c r="F17" s="923"/>
      <c r="G17" s="923"/>
      <c r="H17" s="923"/>
      <c r="I17" s="923"/>
      <c r="J17" s="923"/>
      <c r="K17" s="923"/>
      <c r="L17" s="923"/>
    </row>
    <row r="18" spans="1:12" ht="76.5" customHeight="1" x14ac:dyDescent="0.2">
      <c r="A18" s="924" t="s">
        <v>423</v>
      </c>
      <c r="B18" s="925"/>
      <c r="C18" s="925"/>
      <c r="D18" s="926" t="s">
        <v>520</v>
      </c>
      <c r="E18" s="1515" t="s">
        <v>521</v>
      </c>
      <c r="F18" s="1515"/>
      <c r="G18" s="1515"/>
      <c r="H18" s="1515"/>
      <c r="I18" s="1515"/>
      <c r="J18" s="1515"/>
      <c r="K18" s="928" t="s">
        <v>425</v>
      </c>
      <c r="L18" s="929" t="s">
        <v>40</v>
      </c>
    </row>
    <row r="19" spans="1:12" x14ac:dyDescent="0.2">
      <c r="A19" s="910"/>
      <c r="B19" s="910"/>
      <c r="C19" s="910"/>
      <c r="D19" s="910"/>
      <c r="E19" s="910"/>
      <c r="F19" s="910"/>
      <c r="G19" s="910"/>
      <c r="H19" s="910"/>
      <c r="I19" s="910"/>
      <c r="J19" s="910"/>
      <c r="K19" s="910"/>
      <c r="L19" s="910"/>
    </row>
    <row r="20" spans="1:12" x14ac:dyDescent="0.2">
      <c r="A20" s="1499" t="s">
        <v>434</v>
      </c>
      <c r="B20" s="1499"/>
      <c r="C20" s="1499"/>
      <c r="D20" s="1499"/>
      <c r="E20" s="1499"/>
      <c r="F20" s="1499"/>
      <c r="G20" s="1460" t="s">
        <v>166</v>
      </c>
      <c r="H20" s="1460" t="s">
        <v>362</v>
      </c>
      <c r="I20" s="1460"/>
      <c r="J20" s="1500" t="s">
        <v>483</v>
      </c>
      <c r="K20" s="1500"/>
      <c r="L20" s="1076" t="s">
        <v>484</v>
      </c>
    </row>
    <row r="21" spans="1:12" x14ac:dyDescent="0.2">
      <c r="A21" s="1499"/>
      <c r="B21" s="1499"/>
      <c r="C21" s="1499"/>
      <c r="D21" s="1499"/>
      <c r="E21" s="1499"/>
      <c r="F21" s="1499"/>
      <c r="G21" s="1460"/>
      <c r="H21" s="943" t="s">
        <v>485</v>
      </c>
      <c r="I21" s="1077" t="s">
        <v>486</v>
      </c>
      <c r="J21" s="943" t="s">
        <v>485</v>
      </c>
      <c r="K21" s="1077" t="s">
        <v>486</v>
      </c>
      <c r="L21" s="1026" t="s">
        <v>487</v>
      </c>
    </row>
    <row r="22" spans="1:12" ht="38.25" customHeight="1" x14ac:dyDescent="0.2">
      <c r="A22" s="1513" t="s">
        <v>522</v>
      </c>
      <c r="B22" s="1513"/>
      <c r="C22" s="1050" t="s">
        <v>442</v>
      </c>
      <c r="D22" s="1514" t="s">
        <v>523</v>
      </c>
      <c r="E22" s="1514"/>
      <c r="F22" s="1514"/>
      <c r="G22" s="1080">
        <v>1</v>
      </c>
      <c r="H22" s="1116">
        <v>1</v>
      </c>
      <c r="I22" s="961"/>
      <c r="J22" s="986">
        <f>ROUND(L37*0.1,2)</f>
        <v>26.01</v>
      </c>
      <c r="K22" s="986"/>
      <c r="L22" s="986">
        <f>(G22*H22*J22)+(G22*I22*K22)</f>
        <v>26.01</v>
      </c>
    </row>
    <row r="23" spans="1:12" ht="9.9499999999999993" customHeight="1" x14ac:dyDescent="0.2">
      <c r="A23" s="1134"/>
      <c r="B23" s="923"/>
      <c r="C23" s="979"/>
      <c r="D23" s="942"/>
      <c r="E23" s="942"/>
      <c r="F23" s="1144"/>
      <c r="G23" s="1080"/>
      <c r="H23" s="1116"/>
      <c r="I23" s="961"/>
      <c r="J23" s="986"/>
      <c r="K23" s="963"/>
      <c r="L23" s="986"/>
    </row>
    <row r="24" spans="1:12" ht="10.9" customHeight="1" x14ac:dyDescent="0.2">
      <c r="A24" s="1134"/>
      <c r="B24" s="923"/>
      <c r="C24" s="979"/>
      <c r="D24" s="942"/>
      <c r="E24" s="942"/>
      <c r="F24" s="1144"/>
      <c r="G24" s="1080"/>
      <c r="H24" s="1116"/>
      <c r="I24" s="961"/>
      <c r="J24" s="986"/>
      <c r="K24" s="963"/>
      <c r="L24" s="986"/>
    </row>
    <row r="25" spans="1:12" ht="9" customHeight="1" x14ac:dyDescent="0.2">
      <c r="A25" s="1145"/>
      <c r="B25" s="979"/>
      <c r="C25" s="979"/>
      <c r="D25" s="1083"/>
      <c r="E25" s="1083"/>
      <c r="F25" s="1084"/>
      <c r="G25" s="1085"/>
      <c r="H25" s="1116"/>
      <c r="I25" s="961"/>
      <c r="J25" s="1098"/>
      <c r="K25" s="963"/>
      <c r="L25" s="986"/>
    </row>
    <row r="26" spans="1:12" x14ac:dyDescent="0.2">
      <c r="A26" s="1497" t="s">
        <v>488</v>
      </c>
      <c r="B26" s="1497"/>
      <c r="C26" s="1497"/>
      <c r="D26" s="1497"/>
      <c r="E26" s="1497"/>
      <c r="F26" s="1497"/>
      <c r="G26" s="1497"/>
      <c r="H26" s="1497"/>
      <c r="I26" s="1497"/>
      <c r="J26" s="1497"/>
      <c r="K26" s="1497"/>
      <c r="L26" s="1035">
        <f>ROUND(SUM(L22:L25),4)</f>
        <v>26.01</v>
      </c>
    </row>
    <row r="27" spans="1:12" x14ac:dyDescent="0.2">
      <c r="A27" s="930"/>
      <c r="B27" s="930"/>
      <c r="C27" s="930"/>
      <c r="D27" s="930"/>
      <c r="E27" s="930"/>
      <c r="F27" s="930"/>
      <c r="G27" s="930"/>
      <c r="H27" s="1023"/>
      <c r="I27" s="1023"/>
      <c r="J27" s="1023"/>
      <c r="K27" s="1023"/>
      <c r="L27" s="1023"/>
    </row>
    <row r="28" spans="1:12" ht="13.9" customHeight="1" x14ac:dyDescent="0.2">
      <c r="A28" s="1462" t="s">
        <v>447</v>
      </c>
      <c r="B28" s="1462"/>
      <c r="C28" s="1462"/>
      <c r="D28" s="1462"/>
      <c r="E28" s="1462"/>
      <c r="F28" s="1462"/>
      <c r="G28" s="1462"/>
      <c r="H28" s="1462"/>
      <c r="I28" s="1462"/>
      <c r="J28" s="1460" t="s">
        <v>166</v>
      </c>
      <c r="K28" s="1452" t="s">
        <v>524</v>
      </c>
      <c r="L28" s="1076" t="s">
        <v>449</v>
      </c>
    </row>
    <row r="29" spans="1:12" x14ac:dyDescent="0.2">
      <c r="A29" s="1462"/>
      <c r="B29" s="1462"/>
      <c r="C29" s="1462"/>
      <c r="D29" s="1462"/>
      <c r="E29" s="1462"/>
      <c r="F29" s="1462"/>
      <c r="G29" s="1462"/>
      <c r="H29" s="1462"/>
      <c r="I29" s="1462"/>
      <c r="J29" s="1460"/>
      <c r="K29" s="1452"/>
      <c r="L29" s="1026" t="s">
        <v>487</v>
      </c>
    </row>
    <row r="30" spans="1:12" x14ac:dyDescent="0.2">
      <c r="A30" s="1043" t="s">
        <v>379</v>
      </c>
      <c r="B30" s="1130" t="s">
        <v>683</v>
      </c>
      <c r="C30" s="979" t="s">
        <v>442</v>
      </c>
      <c r="D30" s="942" t="s">
        <v>684</v>
      </c>
      <c r="E30" s="942"/>
      <c r="F30" s="1146" t="s">
        <v>525</v>
      </c>
      <c r="G30" s="910"/>
      <c r="H30" s="979"/>
      <c r="I30" s="1092"/>
      <c r="J30" s="1147">
        <f>1/220</f>
        <v>4.5454545454545452E-3</v>
      </c>
      <c r="K30" s="1091">
        <v>10831.32</v>
      </c>
      <c r="L30" s="964">
        <f>J30*K30</f>
        <v>49.233272727272727</v>
      </c>
    </row>
    <row r="31" spans="1:12" x14ac:dyDescent="0.2">
      <c r="A31" s="1043" t="s">
        <v>379</v>
      </c>
      <c r="B31" s="1130" t="s">
        <v>681</v>
      </c>
      <c r="C31" s="979" t="s">
        <v>442</v>
      </c>
      <c r="D31" s="942" t="s">
        <v>682</v>
      </c>
      <c r="E31" s="942"/>
      <c r="F31" s="1058"/>
      <c r="G31" s="1146" t="s">
        <v>526</v>
      </c>
      <c r="H31" s="979"/>
      <c r="I31" s="1092"/>
      <c r="J31" s="1147">
        <f>1/220</f>
        <v>4.5454545454545452E-3</v>
      </c>
      <c r="K31" s="1044">
        <v>13845.05</v>
      </c>
      <c r="L31" s="964">
        <f>J31*K31</f>
        <v>62.932045454545445</v>
      </c>
    </row>
    <row r="32" spans="1:12" x14ac:dyDescent="0.2">
      <c r="A32" s="1043" t="s">
        <v>379</v>
      </c>
      <c r="B32" s="1130" t="s">
        <v>683</v>
      </c>
      <c r="C32" s="979" t="s">
        <v>442</v>
      </c>
      <c r="D32" s="942" t="s">
        <v>684</v>
      </c>
      <c r="E32" s="942"/>
      <c r="F32" s="1058"/>
      <c r="G32" s="1146" t="s">
        <v>527</v>
      </c>
      <c r="H32" s="979"/>
      <c r="I32" s="1092"/>
      <c r="J32" s="1147">
        <f>1/220</f>
        <v>4.5454545454545452E-3</v>
      </c>
      <c r="K32" s="1044">
        <v>10831.32</v>
      </c>
      <c r="L32" s="964">
        <f>J32*K32</f>
        <v>49.233272727272727</v>
      </c>
    </row>
    <row r="33" spans="1:12" x14ac:dyDescent="0.2">
      <c r="A33" s="1043" t="s">
        <v>379</v>
      </c>
      <c r="B33" s="1130" t="s">
        <v>687</v>
      </c>
      <c r="C33" s="979" t="s">
        <v>442</v>
      </c>
      <c r="D33" s="942" t="s">
        <v>688</v>
      </c>
      <c r="E33" s="942"/>
      <c r="F33" s="1058"/>
      <c r="G33" s="1146" t="s">
        <v>528</v>
      </c>
      <c r="H33" s="979"/>
      <c r="I33" s="1092"/>
      <c r="J33" s="1147">
        <f>4/220</f>
        <v>1.8181818181818181E-2</v>
      </c>
      <c r="K33" s="1044">
        <v>3620.53</v>
      </c>
      <c r="L33" s="964">
        <f>J33*K33</f>
        <v>65.827818181818188</v>
      </c>
    </row>
    <row r="34" spans="1:12" x14ac:dyDescent="0.2">
      <c r="A34" s="1043" t="s">
        <v>379</v>
      </c>
      <c r="B34" s="1131" t="s">
        <v>687</v>
      </c>
      <c r="C34" s="979" t="s">
        <v>442</v>
      </c>
      <c r="D34" s="942" t="s">
        <v>688</v>
      </c>
      <c r="E34" s="942"/>
      <c r="F34" s="1058"/>
      <c r="G34" s="1146" t="s">
        <v>529</v>
      </c>
      <c r="H34" s="979"/>
      <c r="I34" s="1092"/>
      <c r="J34" s="1147">
        <f>2/220</f>
        <v>9.0909090909090905E-3</v>
      </c>
      <c r="K34" s="1044">
        <v>3620.53</v>
      </c>
      <c r="L34" s="964">
        <f>J34*K34</f>
        <v>32.913909090909094</v>
      </c>
    </row>
    <row r="35" spans="1:12" x14ac:dyDescent="0.2">
      <c r="A35" s="1043"/>
      <c r="B35" s="1130"/>
      <c r="C35" s="979"/>
      <c r="D35" s="942"/>
      <c r="E35" s="942"/>
      <c r="F35" s="1146"/>
      <c r="G35" s="910"/>
      <c r="H35" s="979"/>
      <c r="I35" s="1092"/>
      <c r="J35" s="1147"/>
      <c r="K35" s="1044"/>
      <c r="L35" s="964"/>
    </row>
    <row r="36" spans="1:12" x14ac:dyDescent="0.2">
      <c r="A36" s="1093"/>
      <c r="B36" s="1094"/>
      <c r="C36" s="1083"/>
      <c r="D36" s="1083"/>
      <c r="E36" s="1083"/>
      <c r="F36" s="1083"/>
      <c r="G36" s="905"/>
      <c r="H36" s="1077"/>
      <c r="I36" s="1095"/>
      <c r="J36" s="1148"/>
      <c r="K36" s="1044"/>
      <c r="L36" s="964"/>
    </row>
    <row r="37" spans="1:12" x14ac:dyDescent="0.2">
      <c r="A37" s="1497" t="s">
        <v>490</v>
      </c>
      <c r="B37" s="1497"/>
      <c r="C37" s="1497"/>
      <c r="D37" s="1497"/>
      <c r="E37" s="1497"/>
      <c r="F37" s="1497"/>
      <c r="G37" s="1497"/>
      <c r="H37" s="1497"/>
      <c r="I37" s="1497"/>
      <c r="J37" s="1497"/>
      <c r="K37" s="1497"/>
      <c r="L37" s="1035">
        <f>ROUND(SUM(L30:L36),4)</f>
        <v>260.14030000000002</v>
      </c>
    </row>
    <row r="38" spans="1:12" x14ac:dyDescent="0.2">
      <c r="A38" s="930"/>
      <c r="B38" s="930"/>
      <c r="C38" s="930"/>
      <c r="D38" s="930"/>
      <c r="E38" s="930"/>
      <c r="F38" s="930"/>
      <c r="G38" s="930"/>
      <c r="H38" s="930"/>
      <c r="I38" s="930"/>
      <c r="J38" s="1023"/>
      <c r="K38" s="1023"/>
      <c r="L38" s="1099"/>
    </row>
    <row r="39" spans="1:12" x14ac:dyDescent="0.2">
      <c r="A39" s="930"/>
      <c r="B39" s="930"/>
      <c r="C39" s="930"/>
      <c r="D39" s="930"/>
      <c r="E39" s="930"/>
      <c r="F39" s="930"/>
      <c r="G39" s="930"/>
      <c r="H39" s="930"/>
      <c r="I39" s="930"/>
      <c r="J39" s="1023"/>
      <c r="K39" s="1100" t="s">
        <v>491</v>
      </c>
      <c r="L39" s="1101">
        <f>L26+L37</f>
        <v>286.15030000000002</v>
      </c>
    </row>
    <row r="40" spans="1:12" x14ac:dyDescent="0.2">
      <c r="A40" s="1102" t="s">
        <v>492</v>
      </c>
      <c r="B40" s="930"/>
      <c r="C40" s="930"/>
      <c r="D40" s="930"/>
      <c r="E40" s="930"/>
      <c r="F40" s="1103">
        <v>1</v>
      </c>
      <c r="G40" s="1104" t="str">
        <f>L18</f>
        <v>km</v>
      </c>
      <c r="H40" s="1102"/>
      <c r="I40" s="930"/>
      <c r="J40" s="1105"/>
      <c r="K40" s="1106" t="s">
        <v>493</v>
      </c>
      <c r="L40" s="1035">
        <f>L39/F40</f>
        <v>286.15030000000002</v>
      </c>
    </row>
    <row r="41" spans="1:12" x14ac:dyDescent="0.2">
      <c r="A41" s="1102"/>
      <c r="B41" s="930" t="s">
        <v>494</v>
      </c>
      <c r="C41" s="930"/>
      <c r="D41" s="930"/>
      <c r="E41" s="930"/>
      <c r="F41" s="1103"/>
      <c r="G41" s="1104"/>
      <c r="H41" s="1102"/>
      <c r="I41" s="930"/>
      <c r="J41" s="1105"/>
      <c r="K41" s="1100" t="s">
        <v>495</v>
      </c>
      <c r="L41" s="1035">
        <f>L40*F41</f>
        <v>0</v>
      </c>
    </row>
    <row r="42" spans="1:12" x14ac:dyDescent="0.2">
      <c r="A42" s="1102"/>
      <c r="B42" s="930" t="s">
        <v>496</v>
      </c>
      <c r="C42" s="930"/>
      <c r="D42" s="930"/>
      <c r="E42" s="930"/>
      <c r="F42" s="1103"/>
      <c r="G42" s="1104"/>
      <c r="H42" s="1105"/>
      <c r="I42" s="1107"/>
      <c r="J42" s="1023"/>
      <c r="K42" s="1100" t="s">
        <v>497</v>
      </c>
      <c r="L42" s="1035">
        <f>L40*F42</f>
        <v>0</v>
      </c>
    </row>
    <row r="43" spans="1:12" x14ac:dyDescent="0.2">
      <c r="A43" s="930"/>
      <c r="B43" s="930"/>
      <c r="C43" s="930"/>
      <c r="D43" s="930"/>
      <c r="E43" s="930"/>
      <c r="F43" s="930"/>
      <c r="G43" s="930"/>
      <c r="H43" s="930"/>
      <c r="I43" s="930"/>
      <c r="J43" s="1023"/>
      <c r="K43" s="1023"/>
      <c r="L43" s="1099"/>
    </row>
    <row r="44" spans="1:12" x14ac:dyDescent="0.2">
      <c r="A44" s="1462" t="s">
        <v>498</v>
      </c>
      <c r="B44" s="1462"/>
      <c r="C44" s="1462"/>
      <c r="D44" s="1462"/>
      <c r="E44" s="1462"/>
      <c r="F44" s="1462"/>
      <c r="G44" s="1462"/>
      <c r="H44" s="1462"/>
      <c r="I44" s="1456" t="s">
        <v>499</v>
      </c>
      <c r="J44" s="1456"/>
      <c r="K44" s="1456"/>
      <c r="L44" s="1108">
        <f>ROUND(SUM(L40:L43),4)</f>
        <v>286.15030000000002</v>
      </c>
    </row>
    <row r="45" spans="1:12" x14ac:dyDescent="0.2">
      <c r="A45" s="910"/>
      <c r="B45" s="910"/>
      <c r="C45" s="910"/>
      <c r="D45" s="910"/>
      <c r="E45" s="910"/>
      <c r="F45" s="910"/>
      <c r="G45" s="1109"/>
      <c r="H45" s="1109"/>
      <c r="I45" s="933"/>
      <c r="J45" s="933"/>
      <c r="K45" s="933"/>
      <c r="L45" s="910"/>
    </row>
    <row r="46" spans="1:12" x14ac:dyDescent="0.2">
      <c r="A46" s="1462" t="s">
        <v>500</v>
      </c>
      <c r="B46" s="1462"/>
      <c r="C46" s="1462"/>
      <c r="D46" s="1462"/>
      <c r="E46" s="1462"/>
      <c r="F46" s="1462"/>
      <c r="G46" s="1462"/>
      <c r="H46" s="1460" t="s">
        <v>166</v>
      </c>
      <c r="I46" s="1460"/>
      <c r="J46" s="1460" t="s">
        <v>165</v>
      </c>
      <c r="K46" s="1076" t="s">
        <v>501</v>
      </c>
      <c r="L46" s="1076" t="s">
        <v>484</v>
      </c>
    </row>
    <row r="47" spans="1:12" x14ac:dyDescent="0.2">
      <c r="A47" s="1462"/>
      <c r="B47" s="1462"/>
      <c r="C47" s="1462"/>
      <c r="D47" s="1462"/>
      <c r="E47" s="1462"/>
      <c r="F47" s="1462"/>
      <c r="G47" s="1462"/>
      <c r="H47" s="1460"/>
      <c r="I47" s="1460"/>
      <c r="J47" s="1460"/>
      <c r="K47" s="1110" t="s">
        <v>451</v>
      </c>
      <c r="L47" s="1026" t="s">
        <v>451</v>
      </c>
    </row>
    <row r="48" spans="1:12" x14ac:dyDescent="0.2">
      <c r="A48" s="1149" t="s">
        <v>379</v>
      </c>
      <c r="B48" s="1150" t="s">
        <v>750</v>
      </c>
      <c r="C48" s="979" t="s">
        <v>442</v>
      </c>
      <c r="D48" s="1511" t="s">
        <v>751</v>
      </c>
      <c r="E48" s="1511"/>
      <c r="F48" s="1511"/>
      <c r="G48" s="1151"/>
      <c r="H48" s="1495">
        <f>6/8/30</f>
        <v>2.5000000000000001E-2</v>
      </c>
      <c r="I48" s="1495"/>
      <c r="J48" s="1113" t="s">
        <v>518</v>
      </c>
      <c r="K48" s="1044">
        <v>4803.54</v>
      </c>
      <c r="L48" s="986">
        <f>K48*H48</f>
        <v>120.08850000000001</v>
      </c>
    </row>
    <row r="49" spans="1:12" ht="11.65" customHeight="1" x14ac:dyDescent="0.2">
      <c r="A49" s="1043"/>
      <c r="B49" s="1130"/>
      <c r="C49" s="979"/>
      <c r="D49" s="942"/>
      <c r="E49" s="942"/>
      <c r="F49" s="942"/>
      <c r="G49" s="937"/>
      <c r="H49" s="1495"/>
      <c r="I49" s="1495"/>
      <c r="J49" s="1113"/>
      <c r="K49" s="1044"/>
      <c r="L49" s="986">
        <f>K49*H49</f>
        <v>0</v>
      </c>
    </row>
    <row r="50" spans="1:12" ht="9" customHeight="1" x14ac:dyDescent="0.2">
      <c r="A50" s="1043"/>
      <c r="B50" s="1130"/>
      <c r="C50" s="979"/>
      <c r="D50" s="942"/>
      <c r="E50" s="942"/>
      <c r="F50" s="942"/>
      <c r="G50" s="937"/>
      <c r="H50" s="1152"/>
      <c r="I50" s="1080"/>
      <c r="J50" s="1113"/>
      <c r="K50" s="1044"/>
      <c r="L50" s="986"/>
    </row>
    <row r="51" spans="1:12" ht="9" customHeight="1" x14ac:dyDescent="0.2">
      <c r="A51" s="1153"/>
      <c r="B51" s="942"/>
      <c r="C51" s="979"/>
      <c r="D51" s="942"/>
      <c r="E51" s="942"/>
      <c r="F51" s="942"/>
      <c r="G51" s="937"/>
      <c r="H51" s="1495"/>
      <c r="I51" s="1495"/>
      <c r="J51" s="1113"/>
      <c r="K51" s="1044"/>
      <c r="L51" s="986"/>
    </row>
    <row r="52" spans="1:12" ht="9" customHeight="1" x14ac:dyDescent="0.2">
      <c r="A52" s="1153"/>
      <c r="B52" s="942"/>
      <c r="C52" s="979"/>
      <c r="D52" s="1083"/>
      <c r="E52" s="1083"/>
      <c r="F52" s="1083"/>
      <c r="G52" s="1115"/>
      <c r="H52" s="1512"/>
      <c r="I52" s="1512"/>
      <c r="J52" s="1113"/>
      <c r="K52" s="1044"/>
      <c r="L52" s="1098"/>
    </row>
    <row r="53" spans="1:12" x14ac:dyDescent="0.2">
      <c r="A53" s="1454" t="s">
        <v>502</v>
      </c>
      <c r="B53" s="1454"/>
      <c r="C53" s="1454"/>
      <c r="D53" s="1454"/>
      <c r="E53" s="1454"/>
      <c r="F53" s="1454"/>
      <c r="G53" s="1454"/>
      <c r="H53" s="1454"/>
      <c r="I53" s="1454"/>
      <c r="J53" s="1454"/>
      <c r="K53" s="1454"/>
      <c r="L53" s="1108">
        <f>ROUND(SUM(L48:L52),4)</f>
        <v>120.0885</v>
      </c>
    </row>
    <row r="54" spans="1:12" x14ac:dyDescent="0.2">
      <c r="A54" s="932"/>
      <c r="B54" s="932"/>
      <c r="C54" s="932"/>
      <c r="D54" s="932"/>
      <c r="E54" s="932"/>
      <c r="F54" s="932"/>
      <c r="G54" s="932"/>
      <c r="H54" s="932"/>
      <c r="I54" s="932"/>
      <c r="J54" s="910"/>
      <c r="K54" s="1117"/>
      <c r="L54" s="1118"/>
    </row>
    <row r="55" spans="1:12" ht="13.9" customHeight="1" x14ac:dyDescent="0.2">
      <c r="A55" s="1507" t="s">
        <v>530</v>
      </c>
      <c r="B55" s="1507"/>
      <c r="C55" s="1507"/>
      <c r="D55" s="1507"/>
      <c r="E55" s="1507"/>
      <c r="F55" s="1507"/>
      <c r="G55" s="1508" t="s">
        <v>531</v>
      </c>
      <c r="H55" s="1509" t="s">
        <v>532</v>
      </c>
      <c r="I55" s="1509"/>
      <c r="J55" s="1509"/>
      <c r="K55" s="1154" t="s">
        <v>533</v>
      </c>
      <c r="L55" s="1154" t="s">
        <v>534</v>
      </c>
    </row>
    <row r="56" spans="1:12" x14ac:dyDescent="0.2">
      <c r="A56" s="1507"/>
      <c r="B56" s="1507"/>
      <c r="C56" s="1507"/>
      <c r="D56" s="1507"/>
      <c r="E56" s="1507"/>
      <c r="F56" s="1507"/>
      <c r="G56" s="1508"/>
      <c r="H56" s="1509"/>
      <c r="I56" s="1509"/>
      <c r="J56" s="1509"/>
      <c r="K56" s="1155" t="s">
        <v>535</v>
      </c>
      <c r="L56" s="1156"/>
    </row>
    <row r="57" spans="1:12" x14ac:dyDescent="0.2">
      <c r="A57" s="1157" t="s">
        <v>536</v>
      </c>
      <c r="B57" s="1158"/>
      <c r="C57" s="1158"/>
      <c r="D57" s="1158"/>
      <c r="E57" s="1158"/>
      <c r="F57" s="1159"/>
      <c r="G57" s="1160">
        <v>0.84040000000000004</v>
      </c>
      <c r="H57" s="1161" t="s">
        <v>537</v>
      </c>
      <c r="I57" s="1162"/>
      <c r="J57" s="1163"/>
      <c r="K57" s="954">
        <f>L37</f>
        <v>260.14030000000002</v>
      </c>
      <c r="L57" s="1164">
        <f>K57*G57</f>
        <v>218.62190812000003</v>
      </c>
    </row>
    <row r="58" spans="1:12" x14ac:dyDescent="0.2">
      <c r="A58" s="1165" t="s">
        <v>538</v>
      </c>
      <c r="B58" s="1166"/>
      <c r="C58" s="1166"/>
      <c r="D58" s="1166"/>
      <c r="E58" s="1166"/>
      <c r="F58" s="1167"/>
      <c r="G58" s="1168">
        <v>0.2</v>
      </c>
      <c r="H58" s="1169"/>
      <c r="I58" s="1170"/>
      <c r="J58" s="1171"/>
      <c r="K58" s="964"/>
      <c r="L58" s="986"/>
    </row>
    <row r="59" spans="1:12" x14ac:dyDescent="0.2">
      <c r="A59" s="1165" t="s">
        <v>539</v>
      </c>
      <c r="B59" s="1166"/>
      <c r="C59" s="1166"/>
      <c r="D59" s="1166"/>
      <c r="E59" s="1166"/>
      <c r="F59" s="1167"/>
      <c r="G59" s="1168">
        <v>0.3</v>
      </c>
      <c r="H59" s="1169" t="s">
        <v>537</v>
      </c>
      <c r="I59" s="1170"/>
      <c r="J59" s="1171"/>
      <c r="K59" s="964">
        <f>L37</f>
        <v>260.14030000000002</v>
      </c>
      <c r="L59" s="986">
        <f>K59*(G59)</f>
        <v>78.042090000000002</v>
      </c>
    </row>
    <row r="60" spans="1:12" x14ac:dyDescent="0.2">
      <c r="A60" s="1165" t="s">
        <v>540</v>
      </c>
      <c r="B60" s="1166"/>
      <c r="C60" s="1166"/>
      <c r="D60" s="1166"/>
      <c r="E60" s="1166"/>
      <c r="F60" s="1167"/>
      <c r="G60" s="1168">
        <v>0.12</v>
      </c>
      <c r="H60" s="1169" t="s">
        <v>541</v>
      </c>
      <c r="I60" s="1170"/>
      <c r="J60" s="1171"/>
      <c r="K60" s="964">
        <f>L44+L53+L57+L59</f>
        <v>702.90279812000006</v>
      </c>
      <c r="L60" s="986">
        <f>(K60/(1-G60))-K60</f>
        <v>95.850381561818153</v>
      </c>
    </row>
    <row r="61" spans="1:12" x14ac:dyDescent="0.2">
      <c r="A61" s="1172" t="s">
        <v>542</v>
      </c>
      <c r="B61" s="1173"/>
      <c r="C61" s="1173"/>
      <c r="D61" s="1173"/>
      <c r="E61" s="1173"/>
      <c r="F61" s="1174"/>
      <c r="G61" s="1175">
        <v>0.1396</v>
      </c>
      <c r="H61" s="1176" t="s">
        <v>543</v>
      </c>
      <c r="I61" s="1177"/>
      <c r="J61" s="1178"/>
      <c r="K61" s="1179">
        <f>K60+L60</f>
        <v>798.75317968181821</v>
      </c>
      <c r="L61" s="986">
        <f>(K61/(1-G61))-K61</f>
        <v>129.59779623847248</v>
      </c>
    </row>
    <row r="62" spans="1:12" x14ac:dyDescent="0.2">
      <c r="A62" s="1510" t="s">
        <v>544</v>
      </c>
      <c r="B62" s="1510"/>
      <c r="C62" s="1510"/>
      <c r="D62" s="1510"/>
      <c r="E62" s="1510"/>
      <c r="F62" s="1510"/>
      <c r="G62" s="1510"/>
      <c r="H62" s="1510"/>
      <c r="I62" s="1510"/>
      <c r="J62" s="1510"/>
      <c r="K62" s="1510"/>
      <c r="L62" s="1025">
        <f>ROUND(SUM(L57:L61),4)</f>
        <v>522.11220000000003</v>
      </c>
    </row>
    <row r="63" spans="1:12" x14ac:dyDescent="0.2">
      <c r="A63" s="1049"/>
      <c r="B63" s="1049"/>
      <c r="C63" s="1049"/>
      <c r="D63" s="1049"/>
      <c r="E63" s="1049"/>
      <c r="F63" s="1049"/>
      <c r="G63" s="932"/>
      <c r="H63" s="1050"/>
      <c r="I63" s="1050"/>
      <c r="J63" s="1051"/>
      <c r="K63" s="1052"/>
      <c r="L63" s="1053"/>
    </row>
    <row r="64" spans="1:12" x14ac:dyDescent="0.2">
      <c r="A64" s="1454" t="s">
        <v>545</v>
      </c>
      <c r="B64" s="1454"/>
      <c r="C64" s="1454"/>
      <c r="D64" s="1454"/>
      <c r="E64" s="1454"/>
      <c r="F64" s="1454"/>
      <c r="G64" s="1454"/>
      <c r="H64" s="1454"/>
      <c r="I64" s="1454"/>
      <c r="J64" s="1454"/>
      <c r="K64" s="1454"/>
      <c r="L64" s="1025">
        <f>ROUND(L44+L53+L62,4)</f>
        <v>928.351</v>
      </c>
    </row>
    <row r="65" spans="1:12" x14ac:dyDescent="0.2">
      <c r="A65" s="1054"/>
      <c r="B65" s="1180"/>
      <c r="C65" s="1180"/>
      <c r="D65" s="1180"/>
      <c r="E65" s="1180"/>
      <c r="F65" s="1180"/>
      <c r="G65" s="1180"/>
      <c r="H65" s="1180"/>
      <c r="I65" s="1180"/>
      <c r="J65" s="1180"/>
      <c r="K65" s="1181" t="s">
        <v>546</v>
      </c>
      <c r="L65" s="1182">
        <v>0.6</v>
      </c>
    </row>
    <row r="66" spans="1:12" x14ac:dyDescent="0.2">
      <c r="A66" s="1456" t="s">
        <v>462</v>
      </c>
      <c r="B66" s="1456"/>
      <c r="C66" s="1456"/>
      <c r="D66" s="1456"/>
      <c r="E66" s="1456"/>
      <c r="F66" s="1456"/>
      <c r="G66" s="1456"/>
      <c r="H66" s="1456"/>
      <c r="I66" s="1456"/>
      <c r="J66" s="1456"/>
      <c r="K66" s="1456"/>
      <c r="L66" s="1126">
        <f>ROUND(L64*L65,2)</f>
        <v>557.01</v>
      </c>
    </row>
    <row r="67" spans="1:12" ht="50.25" customHeight="1" x14ac:dyDescent="0.2">
      <c r="A67" s="1059" t="s">
        <v>463</v>
      </c>
      <c r="B67" s="1060"/>
      <c r="C67" s="1183" t="s">
        <v>467</v>
      </c>
      <c r="D67" s="1505" t="s">
        <v>547</v>
      </c>
      <c r="E67" s="1505"/>
      <c r="F67" s="1505"/>
      <c r="G67" s="1505"/>
      <c r="H67" s="1505"/>
      <c r="I67" s="1505"/>
      <c r="J67" s="1505"/>
      <c r="K67" s="1505"/>
      <c r="L67" s="1505"/>
    </row>
    <row r="68" spans="1:12" ht="19.5" customHeight="1" x14ac:dyDescent="0.2">
      <c r="A68" s="1065"/>
      <c r="B68" s="1184"/>
      <c r="C68" s="1128" t="s">
        <v>469</v>
      </c>
      <c r="D68" s="1506" t="s">
        <v>548</v>
      </c>
      <c r="E68" s="1506"/>
      <c r="F68" s="1506"/>
      <c r="G68" s="1506"/>
      <c r="H68" s="1506"/>
      <c r="I68" s="1506"/>
      <c r="J68" s="1506"/>
      <c r="K68" s="1506"/>
      <c r="L68" s="1506"/>
    </row>
    <row r="69" spans="1:12" x14ac:dyDescent="0.2">
      <c r="A69" s="1065"/>
      <c r="B69" s="1184"/>
      <c r="C69" s="1109" t="s">
        <v>311</v>
      </c>
      <c r="D69" s="910" t="s">
        <v>549</v>
      </c>
      <c r="E69" s="910"/>
      <c r="F69" s="910"/>
      <c r="G69" s="910"/>
      <c r="H69" s="910"/>
      <c r="I69" s="910"/>
      <c r="J69" s="910"/>
      <c r="K69" s="910"/>
      <c r="L69" s="937"/>
    </row>
    <row r="70" spans="1:12" x14ac:dyDescent="0.2">
      <c r="A70" s="1185"/>
      <c r="B70" s="1129"/>
      <c r="C70" s="1186" t="s">
        <v>472</v>
      </c>
      <c r="D70" s="905" t="s">
        <v>550</v>
      </c>
      <c r="E70" s="905"/>
      <c r="F70" s="905"/>
      <c r="G70" s="905"/>
      <c r="H70" s="905"/>
      <c r="I70" s="905"/>
      <c r="J70" s="905"/>
      <c r="K70" s="905"/>
      <c r="L70" s="1115"/>
    </row>
    <row r="71" spans="1:12" hidden="1" x14ac:dyDescent="0.2">
      <c r="B71" s="1187"/>
    </row>
    <row r="72" spans="1:12" hidden="1" x14ac:dyDescent="0.2">
      <c r="B72" s="1187"/>
    </row>
    <row r="73" spans="1:12" hidden="1" x14ac:dyDescent="0.2">
      <c r="B73" s="1187"/>
    </row>
    <row r="74" spans="1:12" hidden="1" x14ac:dyDescent="0.2">
      <c r="B74" s="1187"/>
    </row>
    <row r="75" spans="1:12" hidden="1" x14ac:dyDescent="0.2">
      <c r="B75" s="1187"/>
    </row>
    <row r="76" spans="1:12" hidden="1" x14ac:dyDescent="0.2">
      <c r="A76" s="1188">
        <v>1</v>
      </c>
    </row>
    <row r="77" spans="1:12" hidden="1" x14ac:dyDescent="0.2">
      <c r="A77" s="1188">
        <v>0.8</v>
      </c>
    </row>
    <row r="78" spans="1:12" hidden="1" x14ac:dyDescent="0.2">
      <c r="A78" s="1188">
        <v>0.6</v>
      </c>
    </row>
    <row r="79" spans="1:12" hidden="1" x14ac:dyDescent="0.2">
      <c r="A79" s="1188">
        <v>0.4</v>
      </c>
    </row>
    <row r="80" spans="1:12" hidden="1" x14ac:dyDescent="0.2">
      <c r="A80" s="1189">
        <v>0</v>
      </c>
    </row>
    <row r="81" hidden="1" x14ac:dyDescent="0.2"/>
    <row r="82" hidden="1" x14ac:dyDescent="0.2"/>
    <row r="83" hidden="1" x14ac:dyDescent="0.2"/>
  </sheetData>
  <mergeCells count="42">
    <mergeCell ref="A1:L1"/>
    <mergeCell ref="A2:L2"/>
    <mergeCell ref="A3:L3"/>
    <mergeCell ref="A4:L4"/>
    <mergeCell ref="A5:K5"/>
    <mergeCell ref="A6:K6"/>
    <mergeCell ref="A7:K7"/>
    <mergeCell ref="L7:L8"/>
    <mergeCell ref="A10:L10"/>
    <mergeCell ref="A12:D12"/>
    <mergeCell ref="A15:L16"/>
    <mergeCell ref="E18:J18"/>
    <mergeCell ref="A20:F21"/>
    <mergeCell ref="G20:G21"/>
    <mergeCell ref="H20:I20"/>
    <mergeCell ref="J20:K20"/>
    <mergeCell ref="A22:B22"/>
    <mergeCell ref="D22:F22"/>
    <mergeCell ref="A26:K26"/>
    <mergeCell ref="A28:I29"/>
    <mergeCell ref="J28:J29"/>
    <mergeCell ref="K28:K29"/>
    <mergeCell ref="A37:K37"/>
    <mergeCell ref="A44:H44"/>
    <mergeCell ref="I44:K44"/>
    <mergeCell ref="A46:G47"/>
    <mergeCell ref="H46:I47"/>
    <mergeCell ref="J46:J47"/>
    <mergeCell ref="D48:F48"/>
    <mergeCell ref="H48:I48"/>
    <mergeCell ref="H49:I49"/>
    <mergeCell ref="H51:I51"/>
    <mergeCell ref="H52:I52"/>
    <mergeCell ref="A64:K64"/>
    <mergeCell ref="A66:K66"/>
    <mergeCell ref="D67:L67"/>
    <mergeCell ref="D68:L68"/>
    <mergeCell ref="A53:K53"/>
    <mergeCell ref="A55:F56"/>
    <mergeCell ref="G55:G56"/>
    <mergeCell ref="H55:J56"/>
    <mergeCell ref="A62:K62"/>
  </mergeCells>
  <dataValidations count="2">
    <dataValidation allowBlank="1" showInputMessage="1" showErrorMessage="1" prompt="Clique duas vezes sobre o número do item para ser direcionado à Planilha Orçamentária." sqref="D18" xr:uid="{00000000-0002-0000-0A00-000000000000}">
      <formula1>0</formula1>
      <formula2>0</formula2>
    </dataValidation>
    <dataValidation type="list" allowBlank="1" showInputMessage="1" showErrorMessage="1" prompt="Selecione o fator de redução, conforme recomendação das observações" sqref="L65" xr:uid="{00000000-0002-0000-0A00-000001000000}">
      <formula1>$A$76:$A$80</formula1>
      <formula2>0</formula2>
    </dataValidation>
  </dataValidations>
  <printOptions horizontalCentered="1" verticalCentered="1"/>
  <pageMargins left="0.51180555555555496" right="0.51180555555555496" top="0.35416666666666702" bottom="0.35416666666666702" header="0.51180555555555496" footer="0.51180555555555496"/>
  <pageSetup paperSize="9" scale="75" firstPageNumber="0"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67"/>
  <sheetViews>
    <sheetView topLeftCell="A49" zoomScale="83" zoomScaleNormal="83" workbookViewId="0">
      <selection activeCell="P139" sqref="P139"/>
    </sheetView>
  </sheetViews>
  <sheetFormatPr defaultRowHeight="15" x14ac:dyDescent="0.2"/>
  <cols>
    <col min="1" max="2" width="7.6640625" style="902" customWidth="1"/>
    <col min="3" max="3" width="1.8828125" style="902" customWidth="1"/>
    <col min="4" max="4" width="3.765625" style="902" customWidth="1"/>
    <col min="5" max="5" width="23.67578125" style="902" customWidth="1"/>
    <col min="6" max="6" width="12.64453125" style="902" customWidth="1"/>
    <col min="7" max="7" width="8.7421875" style="902" customWidth="1"/>
    <col min="8" max="9" width="8.33984375" style="902" customWidth="1"/>
    <col min="10" max="10" width="8.7421875" style="902" customWidth="1"/>
    <col min="11" max="11" width="9.68359375" style="902" customWidth="1"/>
    <col min="12" max="12" width="10.76171875" style="902" customWidth="1"/>
    <col min="13" max="1025" width="8.7421875" customWidth="1"/>
  </cols>
  <sheetData>
    <row r="1" spans="1:12" x14ac:dyDescent="0.2">
      <c r="A1" s="1474"/>
      <c r="B1" s="1474"/>
      <c r="C1" s="1474"/>
      <c r="D1" s="1474"/>
      <c r="E1" s="1474"/>
      <c r="F1" s="1474"/>
      <c r="G1" s="1474"/>
      <c r="H1" s="1474"/>
      <c r="I1" s="1474"/>
      <c r="J1" s="1474"/>
      <c r="K1" s="1474"/>
      <c r="L1" s="1474"/>
    </row>
    <row r="2" spans="1:12" x14ac:dyDescent="0.2">
      <c r="A2" s="1475" t="s">
        <v>629</v>
      </c>
      <c r="B2" s="1475"/>
      <c r="C2" s="1475"/>
      <c r="D2" s="1475"/>
      <c r="E2" s="1475"/>
      <c r="F2" s="1475"/>
      <c r="G2" s="1475"/>
      <c r="H2" s="1475"/>
      <c r="I2" s="1475"/>
      <c r="J2" s="1475"/>
      <c r="K2" s="1475"/>
      <c r="L2" s="1475"/>
    </row>
    <row r="3" spans="1:12" x14ac:dyDescent="0.2">
      <c r="A3" s="1474"/>
      <c r="B3" s="1474"/>
      <c r="C3" s="1474"/>
      <c r="D3" s="1474"/>
      <c r="E3" s="1474"/>
      <c r="F3" s="1474"/>
      <c r="G3" s="1474"/>
      <c r="H3" s="1474"/>
      <c r="I3" s="1474"/>
      <c r="J3" s="1474"/>
      <c r="K3" s="1474"/>
      <c r="L3" s="1474"/>
    </row>
    <row r="4" spans="1:12" x14ac:dyDescent="0.2">
      <c r="A4" s="1476"/>
      <c r="B4" s="1476"/>
      <c r="C4" s="1476"/>
      <c r="D4" s="1476"/>
      <c r="E4" s="1476"/>
      <c r="F4" s="1476"/>
      <c r="G4" s="1476"/>
      <c r="H4" s="1476"/>
      <c r="I4" s="1476"/>
      <c r="J4" s="1476"/>
      <c r="K4" s="1476"/>
      <c r="L4" s="1476"/>
    </row>
    <row r="5" spans="1:12" x14ac:dyDescent="0.2">
      <c r="A5" s="1477"/>
      <c r="B5" s="1477"/>
      <c r="C5" s="1477"/>
      <c r="D5" s="1477"/>
      <c r="E5" s="1477"/>
      <c r="F5" s="1477"/>
      <c r="G5" s="1477"/>
      <c r="H5" s="1477"/>
      <c r="I5" s="1477"/>
      <c r="J5" s="1477"/>
      <c r="K5" s="1477"/>
      <c r="L5" s="903" t="s">
        <v>419</v>
      </c>
    </row>
    <row r="6" spans="1:12" ht="9" customHeight="1" x14ac:dyDescent="0.2">
      <c r="A6" s="1516"/>
      <c r="B6" s="1516"/>
      <c r="C6" s="1516"/>
      <c r="D6" s="1516"/>
      <c r="E6" s="1516"/>
      <c r="F6" s="1516"/>
      <c r="G6" s="1516"/>
      <c r="H6" s="1516"/>
      <c r="I6" s="1516"/>
      <c r="J6" s="1516"/>
      <c r="K6" s="1516"/>
      <c r="L6" s="1075"/>
    </row>
    <row r="7" spans="1:12" ht="13.9" customHeight="1" x14ac:dyDescent="0.2">
      <c r="A7" s="1516"/>
      <c r="B7" s="1516"/>
      <c r="C7" s="1516"/>
      <c r="D7" s="1516"/>
      <c r="E7" s="1516"/>
      <c r="F7" s="1516"/>
      <c r="G7" s="1516"/>
      <c r="H7" s="1516"/>
      <c r="I7" s="1516"/>
      <c r="J7" s="1516"/>
      <c r="K7" s="1516"/>
      <c r="L7" s="1470" t="s">
        <v>551</v>
      </c>
    </row>
    <row r="8" spans="1:12" x14ac:dyDescent="0.2">
      <c r="A8" s="904"/>
      <c r="B8" s="905"/>
      <c r="C8" s="906"/>
      <c r="D8" s="907"/>
      <c r="E8" s="908"/>
      <c r="F8" s="906"/>
      <c r="G8" s="906"/>
      <c r="H8" s="906"/>
      <c r="I8" s="906"/>
      <c r="J8" s="906"/>
      <c r="K8" s="909"/>
      <c r="L8" s="1470"/>
    </row>
    <row r="9" spans="1:12" x14ac:dyDescent="0.2">
      <c r="A9" s="910"/>
      <c r="B9" s="910"/>
      <c r="C9" s="911"/>
      <c r="D9" s="912"/>
      <c r="E9" s="912"/>
      <c r="F9" s="913"/>
      <c r="G9" s="913"/>
      <c r="H9" s="913"/>
      <c r="I9" s="913"/>
      <c r="J9" s="913"/>
      <c r="K9" s="913"/>
      <c r="L9" s="914"/>
    </row>
    <row r="10" spans="1:12" ht="9" customHeight="1" x14ac:dyDescent="0.2">
      <c r="A10" s="1471"/>
      <c r="B10" s="1471"/>
      <c r="C10" s="1471"/>
      <c r="D10" s="1471"/>
      <c r="E10" s="1471"/>
      <c r="F10" s="1471"/>
      <c r="G10" s="1471"/>
      <c r="H10" s="1471"/>
      <c r="I10" s="1471"/>
      <c r="J10" s="1471"/>
      <c r="K10" s="1471"/>
      <c r="L10" s="1471"/>
    </row>
    <row r="11" spans="1:12" ht="9" customHeight="1" x14ac:dyDescent="0.2">
      <c r="A11" s="915"/>
      <c r="B11" s="912"/>
      <c r="C11" s="911"/>
      <c r="D11" s="912"/>
      <c r="E11" s="911"/>
      <c r="F11" s="911"/>
      <c r="G11" s="911"/>
      <c r="H11" s="911"/>
      <c r="I11" s="911"/>
      <c r="J11" s="911"/>
      <c r="K11" s="911"/>
      <c r="L11" s="916"/>
    </row>
    <row r="12" spans="1:12" x14ac:dyDescent="0.2">
      <c r="A12" s="1472" t="s">
        <v>421</v>
      </c>
      <c r="B12" s="1472"/>
      <c r="C12" s="1472"/>
      <c r="D12" s="1472"/>
      <c r="E12" s="917" t="s">
        <v>648</v>
      </c>
      <c r="F12" s="918"/>
      <c r="G12" s="918"/>
      <c r="H12" s="918"/>
      <c r="I12" s="918"/>
      <c r="J12" s="918"/>
      <c r="K12" s="918"/>
      <c r="L12" s="919"/>
    </row>
    <row r="13" spans="1:12" x14ac:dyDescent="0.2">
      <c r="A13" s="920"/>
      <c r="B13" s="907"/>
      <c r="C13" s="921"/>
      <c r="D13" s="907"/>
      <c r="E13" s="907"/>
      <c r="F13" s="906"/>
      <c r="G13" s="906"/>
      <c r="H13" s="906"/>
      <c r="I13" s="906"/>
      <c r="J13" s="906"/>
      <c r="K13" s="906"/>
      <c r="L13" s="922"/>
    </row>
    <row r="14" spans="1:12" x14ac:dyDescent="0.2">
      <c r="A14" s="913"/>
      <c r="B14" s="913"/>
      <c r="C14" s="913"/>
      <c r="D14" s="913"/>
      <c r="E14" s="913"/>
      <c r="F14" s="913"/>
      <c r="G14" s="913"/>
      <c r="H14" s="913"/>
      <c r="I14" s="913"/>
      <c r="J14" s="913"/>
      <c r="K14" s="913"/>
      <c r="L14" s="914"/>
    </row>
    <row r="15" spans="1:12" x14ac:dyDescent="0.2">
      <c r="A15" s="1473" t="s">
        <v>422</v>
      </c>
      <c r="B15" s="1473"/>
      <c r="C15" s="1473"/>
      <c r="D15" s="1473"/>
      <c r="E15" s="1473"/>
      <c r="F15" s="1473"/>
      <c r="G15" s="1473"/>
      <c r="H15" s="1473"/>
      <c r="I15" s="1473"/>
      <c r="J15" s="1473"/>
      <c r="K15" s="1473"/>
      <c r="L15" s="1473"/>
    </row>
    <row r="16" spans="1:12" x14ac:dyDescent="0.2">
      <c r="A16" s="1473"/>
      <c r="B16" s="1473"/>
      <c r="C16" s="1473"/>
      <c r="D16" s="1473"/>
      <c r="E16" s="1473"/>
      <c r="F16" s="1473"/>
      <c r="G16" s="1473"/>
      <c r="H16" s="1473"/>
      <c r="I16" s="1473"/>
      <c r="J16" s="1473"/>
      <c r="K16" s="1473"/>
      <c r="L16" s="1473"/>
    </row>
    <row r="17" spans="1:12" x14ac:dyDescent="0.2">
      <c r="A17" s="923"/>
      <c r="B17" s="923"/>
      <c r="C17" s="923"/>
      <c r="D17" s="923"/>
      <c r="E17" s="923"/>
      <c r="F17" s="923"/>
      <c r="G17" s="923"/>
      <c r="H17" s="923"/>
      <c r="I17" s="923"/>
      <c r="J17" s="923"/>
      <c r="K17" s="923"/>
      <c r="L17" s="923"/>
    </row>
    <row r="18" spans="1:12" ht="87" customHeight="1" x14ac:dyDescent="0.2">
      <c r="A18" s="924" t="s">
        <v>423</v>
      </c>
      <c r="B18" s="925"/>
      <c r="C18" s="925"/>
      <c r="D18" s="926" t="s">
        <v>551</v>
      </c>
      <c r="E18" s="1515" t="s">
        <v>552</v>
      </c>
      <c r="F18" s="1515"/>
      <c r="G18" s="1515"/>
      <c r="H18" s="1515"/>
      <c r="I18" s="1515"/>
      <c r="J18" s="1515"/>
      <c r="K18" s="928" t="s">
        <v>425</v>
      </c>
      <c r="L18" s="929" t="s">
        <v>40</v>
      </c>
    </row>
    <row r="19" spans="1:12" x14ac:dyDescent="0.2">
      <c r="A19" s="910"/>
      <c r="B19" s="910"/>
      <c r="C19" s="910"/>
      <c r="D19" s="910"/>
      <c r="E19" s="910"/>
      <c r="F19" s="910"/>
      <c r="G19" s="910"/>
      <c r="H19" s="910"/>
      <c r="I19" s="910"/>
      <c r="J19" s="910"/>
      <c r="K19" s="910"/>
      <c r="L19" s="910"/>
    </row>
    <row r="20" spans="1:12" x14ac:dyDescent="0.2">
      <c r="A20" s="1499" t="s">
        <v>553</v>
      </c>
      <c r="B20" s="1499"/>
      <c r="C20" s="1499"/>
      <c r="D20" s="1499"/>
      <c r="E20" s="1499"/>
      <c r="F20" s="1499"/>
      <c r="G20" s="1460" t="s">
        <v>166</v>
      </c>
      <c r="H20" s="1460" t="s">
        <v>362</v>
      </c>
      <c r="I20" s="1460"/>
      <c r="J20" s="1500" t="s">
        <v>483</v>
      </c>
      <c r="K20" s="1500"/>
      <c r="L20" s="1076" t="s">
        <v>484</v>
      </c>
    </row>
    <row r="21" spans="1:12" x14ac:dyDescent="0.2">
      <c r="A21" s="1499"/>
      <c r="B21" s="1499"/>
      <c r="C21" s="1499"/>
      <c r="D21" s="1499"/>
      <c r="E21" s="1499"/>
      <c r="F21" s="1499"/>
      <c r="G21" s="1460"/>
      <c r="H21" s="943" t="s">
        <v>485</v>
      </c>
      <c r="I21" s="1077" t="s">
        <v>486</v>
      </c>
      <c r="J21" s="943" t="s">
        <v>485</v>
      </c>
      <c r="K21" s="1077" t="s">
        <v>486</v>
      </c>
      <c r="L21" s="1026" t="s">
        <v>487</v>
      </c>
    </row>
    <row r="22" spans="1:12" ht="31.5" customHeight="1" x14ac:dyDescent="0.2">
      <c r="A22" s="1513" t="s">
        <v>522</v>
      </c>
      <c r="B22" s="1513"/>
      <c r="C22" s="1050" t="s">
        <v>442</v>
      </c>
      <c r="D22" s="1514" t="s">
        <v>554</v>
      </c>
      <c r="E22" s="1514"/>
      <c r="F22" s="1514"/>
      <c r="G22" s="1080">
        <v>1</v>
      </c>
      <c r="H22" s="1116">
        <v>1</v>
      </c>
      <c r="I22" s="961"/>
      <c r="J22" s="986">
        <f>ROUND(L36*0.1,2)</f>
        <v>41.07</v>
      </c>
      <c r="K22" s="986"/>
      <c r="L22" s="986">
        <f>(G22*H22*J22)+(G22*I22*K22)</f>
        <v>41.07</v>
      </c>
    </row>
    <row r="23" spans="1:12" x14ac:dyDescent="0.2">
      <c r="A23" s="1145"/>
      <c r="B23" s="979"/>
      <c r="C23" s="979"/>
      <c r="D23" s="1083"/>
      <c r="E23" s="1083"/>
      <c r="F23" s="1084"/>
      <c r="G23" s="1085"/>
      <c r="H23" s="1116"/>
      <c r="I23" s="961"/>
      <c r="J23" s="1098"/>
      <c r="K23" s="963"/>
      <c r="L23" s="986"/>
    </row>
    <row r="24" spans="1:12" x14ac:dyDescent="0.2">
      <c r="A24" s="1497" t="s">
        <v>488</v>
      </c>
      <c r="B24" s="1497"/>
      <c r="C24" s="1497"/>
      <c r="D24" s="1497"/>
      <c r="E24" s="1497"/>
      <c r="F24" s="1497"/>
      <c r="G24" s="1497"/>
      <c r="H24" s="1497"/>
      <c r="I24" s="1497"/>
      <c r="J24" s="1497"/>
      <c r="K24" s="1497"/>
      <c r="L24" s="968">
        <f>ROUND(SUM(L22:L23),4)</f>
        <v>41.07</v>
      </c>
    </row>
    <row r="25" spans="1:12" x14ac:dyDescent="0.2">
      <c r="A25" s="930"/>
      <c r="B25" s="930"/>
      <c r="C25" s="930"/>
      <c r="D25" s="930"/>
      <c r="E25" s="930"/>
      <c r="F25" s="930"/>
      <c r="G25" s="930"/>
      <c r="H25" s="1023"/>
      <c r="I25" s="1023"/>
      <c r="J25" s="1023"/>
      <c r="K25" s="1023"/>
      <c r="L25" s="1023"/>
    </row>
    <row r="26" spans="1:12" ht="13.9" customHeight="1" x14ac:dyDescent="0.2">
      <c r="A26" s="1462" t="s">
        <v>447</v>
      </c>
      <c r="B26" s="1462"/>
      <c r="C26" s="1462"/>
      <c r="D26" s="1462"/>
      <c r="E26" s="1462"/>
      <c r="F26" s="1462"/>
      <c r="G26" s="1462"/>
      <c r="H26" s="1462"/>
      <c r="I26" s="1462"/>
      <c r="J26" s="1460" t="s">
        <v>166</v>
      </c>
      <c r="K26" s="1452" t="s">
        <v>555</v>
      </c>
      <c r="L26" s="1076" t="s">
        <v>449</v>
      </c>
    </row>
    <row r="27" spans="1:12" x14ac:dyDescent="0.2">
      <c r="A27" s="1462"/>
      <c r="B27" s="1462"/>
      <c r="C27" s="1462"/>
      <c r="D27" s="1462"/>
      <c r="E27" s="1462"/>
      <c r="F27" s="1462"/>
      <c r="G27" s="1462"/>
      <c r="H27" s="1462"/>
      <c r="I27" s="1462"/>
      <c r="J27" s="1460"/>
      <c r="K27" s="1452"/>
      <c r="L27" s="1026" t="s">
        <v>487</v>
      </c>
    </row>
    <row r="28" spans="1:12" x14ac:dyDescent="0.2">
      <c r="A28" s="1153"/>
      <c r="B28" s="942"/>
      <c r="C28" s="942"/>
      <c r="D28" s="1190" t="s">
        <v>556</v>
      </c>
      <c r="E28" s="942"/>
      <c r="F28" s="942"/>
      <c r="G28" s="942"/>
      <c r="H28" s="942"/>
      <c r="I28" s="1144"/>
      <c r="J28" s="1080"/>
      <c r="K28" s="1191"/>
      <c r="L28" s="985"/>
    </row>
    <row r="29" spans="1:12" x14ac:dyDescent="0.2">
      <c r="A29" s="1043" t="s">
        <v>379</v>
      </c>
      <c r="B29" s="1130" t="s">
        <v>683</v>
      </c>
      <c r="C29" s="979" t="s">
        <v>442</v>
      </c>
      <c r="D29" s="942" t="s">
        <v>684</v>
      </c>
      <c r="E29" s="942"/>
      <c r="F29" s="1058"/>
      <c r="G29" s="942" t="s">
        <v>557</v>
      </c>
      <c r="H29" s="979"/>
      <c r="I29" s="1092"/>
      <c r="J29" s="1147">
        <f>4/220</f>
        <v>1.8181818181818181E-2</v>
      </c>
      <c r="K29" s="1044">
        <v>10831.32</v>
      </c>
      <c r="L29" s="964">
        <f>J29*K29</f>
        <v>196.93309090909091</v>
      </c>
    </row>
    <row r="30" spans="1:12" x14ac:dyDescent="0.2">
      <c r="A30" s="1043" t="s">
        <v>379</v>
      </c>
      <c r="B30" s="1131" t="s">
        <v>687</v>
      </c>
      <c r="C30" s="979" t="s">
        <v>442</v>
      </c>
      <c r="D30" s="942" t="s">
        <v>688</v>
      </c>
      <c r="E30" s="942"/>
      <c r="F30" s="1058"/>
      <c r="G30" s="1146" t="s">
        <v>529</v>
      </c>
      <c r="H30" s="979"/>
      <c r="I30" s="1092"/>
      <c r="J30" s="1147">
        <f>8/220</f>
        <v>3.6363636363636362E-2</v>
      </c>
      <c r="K30" s="1044">
        <v>3620.53</v>
      </c>
      <c r="L30" s="964">
        <f>J30*K30</f>
        <v>131.65563636363638</v>
      </c>
    </row>
    <row r="31" spans="1:12" x14ac:dyDescent="0.2">
      <c r="A31" s="1043"/>
      <c r="B31" s="1130"/>
      <c r="C31" s="979"/>
      <c r="D31" s="942"/>
      <c r="E31" s="942"/>
      <c r="F31" s="1146"/>
      <c r="G31" s="910"/>
      <c r="H31" s="979"/>
      <c r="I31" s="1092"/>
      <c r="J31" s="1147"/>
      <c r="K31" s="1044"/>
      <c r="L31" s="964"/>
    </row>
    <row r="32" spans="1:12" x14ac:dyDescent="0.2">
      <c r="A32" s="1192"/>
      <c r="B32" s="1190"/>
      <c r="C32" s="1193"/>
      <c r="D32" s="1190" t="s">
        <v>558</v>
      </c>
      <c r="E32" s="1194"/>
      <c r="F32" s="1195"/>
      <c r="G32" s="1196"/>
      <c r="H32" s="1193"/>
      <c r="I32" s="1197"/>
      <c r="J32" s="1198"/>
      <c r="K32" s="1199"/>
      <c r="L32" s="964"/>
    </row>
    <row r="33" spans="1:12" x14ac:dyDescent="0.2">
      <c r="A33" s="1192" t="s">
        <v>379</v>
      </c>
      <c r="B33" s="1200" t="s">
        <v>683</v>
      </c>
      <c r="C33" s="1193" t="s">
        <v>442</v>
      </c>
      <c r="D33" s="1194" t="s">
        <v>684</v>
      </c>
      <c r="E33" s="1194"/>
      <c r="F33" s="1058"/>
      <c r="G33" s="1194" t="s">
        <v>557</v>
      </c>
      <c r="H33" s="1193"/>
      <c r="I33" s="1197"/>
      <c r="J33" s="1198">
        <f>1/220</f>
        <v>4.5454545454545452E-3</v>
      </c>
      <c r="K33" s="1199">
        <v>10831.32</v>
      </c>
      <c r="L33" s="964">
        <f>J33*K33</f>
        <v>49.233272727272727</v>
      </c>
    </row>
    <row r="34" spans="1:12" x14ac:dyDescent="0.2">
      <c r="A34" s="1192" t="s">
        <v>379</v>
      </c>
      <c r="B34" s="1200" t="s">
        <v>687</v>
      </c>
      <c r="C34" s="1193" t="s">
        <v>442</v>
      </c>
      <c r="D34" s="1194" t="s">
        <v>688</v>
      </c>
      <c r="E34" s="1194"/>
      <c r="F34" s="1058"/>
      <c r="G34" s="1195" t="s">
        <v>559</v>
      </c>
      <c r="H34" s="1193"/>
      <c r="I34" s="1197"/>
      <c r="J34" s="1198">
        <f>2/220</f>
        <v>9.0909090909090905E-3</v>
      </c>
      <c r="K34" s="1199">
        <v>3620.53</v>
      </c>
      <c r="L34" s="964">
        <f>J34*K34</f>
        <v>32.913909090909094</v>
      </c>
    </row>
    <row r="35" spans="1:12" x14ac:dyDescent="0.2">
      <c r="A35" s="1192"/>
      <c r="B35" s="1200"/>
      <c r="C35" s="1193"/>
      <c r="D35" s="1194"/>
      <c r="E35" s="1194"/>
      <c r="F35" s="1058"/>
      <c r="G35" s="1195"/>
      <c r="H35" s="1193"/>
      <c r="I35" s="1193"/>
      <c r="J35" s="1201"/>
      <c r="K35" s="1199"/>
      <c r="L35" s="964"/>
    </row>
    <row r="36" spans="1:12" x14ac:dyDescent="0.2">
      <c r="A36" s="1497" t="s">
        <v>490</v>
      </c>
      <c r="B36" s="1497"/>
      <c r="C36" s="1497"/>
      <c r="D36" s="1497"/>
      <c r="E36" s="1497"/>
      <c r="F36" s="1497"/>
      <c r="G36" s="1497"/>
      <c r="H36" s="1497"/>
      <c r="I36" s="1497"/>
      <c r="J36" s="1497"/>
      <c r="K36" s="1497"/>
      <c r="L36" s="968">
        <f>ROUND(SUM(L28:L35),4)</f>
        <v>410.73590000000002</v>
      </c>
    </row>
    <row r="37" spans="1:12" x14ac:dyDescent="0.2">
      <c r="A37" s="930"/>
      <c r="B37" s="930"/>
      <c r="C37" s="930"/>
      <c r="D37" s="930"/>
      <c r="E37" s="930"/>
      <c r="F37" s="930"/>
      <c r="G37" s="930"/>
      <c r="H37" s="930"/>
      <c r="I37" s="930"/>
      <c r="J37" s="1023"/>
      <c r="K37" s="1023"/>
      <c r="L37" s="1023"/>
    </row>
    <row r="38" spans="1:12" x14ac:dyDescent="0.2">
      <c r="A38" s="930"/>
      <c r="B38" s="930"/>
      <c r="C38" s="930"/>
      <c r="D38" s="930"/>
      <c r="E38" s="930"/>
      <c r="F38" s="930"/>
      <c r="G38" s="930"/>
      <c r="H38" s="930"/>
      <c r="I38" s="930"/>
      <c r="J38" s="1023"/>
      <c r="K38" s="1100" t="s">
        <v>491</v>
      </c>
      <c r="L38" s="1101">
        <f>L24+L36</f>
        <v>451.80590000000001</v>
      </c>
    </row>
    <row r="39" spans="1:12" x14ac:dyDescent="0.2">
      <c r="A39" s="1102" t="s">
        <v>492</v>
      </c>
      <c r="B39" s="930"/>
      <c r="C39" s="930"/>
      <c r="D39" s="930"/>
      <c r="E39" s="930"/>
      <c r="F39" s="1103">
        <v>1</v>
      </c>
      <c r="G39" s="1104" t="str">
        <f>L18</f>
        <v>km</v>
      </c>
      <c r="H39" s="1102"/>
      <c r="I39" s="930"/>
      <c r="J39" s="1105"/>
      <c r="K39" s="1106" t="s">
        <v>493</v>
      </c>
      <c r="L39" s="1035">
        <f>L38/F39</f>
        <v>451.80590000000001</v>
      </c>
    </row>
    <row r="40" spans="1:12" x14ac:dyDescent="0.2">
      <c r="A40" s="1102"/>
      <c r="B40" s="930" t="s">
        <v>494</v>
      </c>
      <c r="C40" s="930"/>
      <c r="D40" s="930"/>
      <c r="E40" s="930"/>
      <c r="F40" s="1103"/>
      <c r="G40" s="1104"/>
      <c r="H40" s="1102"/>
      <c r="I40" s="930"/>
      <c r="J40" s="1105"/>
      <c r="K40" s="1100" t="s">
        <v>495</v>
      </c>
      <c r="L40" s="1035">
        <f>L39*F40</f>
        <v>0</v>
      </c>
    </row>
    <row r="41" spans="1:12" x14ac:dyDescent="0.2">
      <c r="A41" s="1102"/>
      <c r="B41" s="930" t="s">
        <v>496</v>
      </c>
      <c r="C41" s="930"/>
      <c r="D41" s="930"/>
      <c r="E41" s="930"/>
      <c r="F41" s="1202"/>
      <c r="G41" s="1104"/>
      <c r="H41" s="1105"/>
      <c r="I41" s="1107"/>
      <c r="J41" s="1023"/>
      <c r="K41" s="1100" t="s">
        <v>497</v>
      </c>
      <c r="L41" s="1035">
        <f>L39*F41</f>
        <v>0</v>
      </c>
    </row>
    <row r="42" spans="1:12" x14ac:dyDescent="0.2">
      <c r="A42" s="930"/>
      <c r="B42" s="930"/>
      <c r="C42" s="930"/>
      <c r="D42" s="930"/>
      <c r="E42" s="930"/>
      <c r="F42" s="930"/>
      <c r="G42" s="930"/>
      <c r="H42" s="930"/>
      <c r="I42" s="930"/>
      <c r="J42" s="1023"/>
      <c r="K42" s="1023"/>
      <c r="L42" s="1099"/>
    </row>
    <row r="43" spans="1:12" x14ac:dyDescent="0.2">
      <c r="A43" s="1462" t="s">
        <v>498</v>
      </c>
      <c r="B43" s="1462"/>
      <c r="C43" s="1462"/>
      <c r="D43" s="1462"/>
      <c r="E43" s="1462"/>
      <c r="F43" s="1462"/>
      <c r="G43" s="1462"/>
      <c r="H43" s="1462"/>
      <c r="I43" s="1456" t="s">
        <v>499</v>
      </c>
      <c r="J43" s="1456"/>
      <c r="K43" s="1456"/>
      <c r="L43" s="1108">
        <f>ROUND(SUM(L39:L42),4)</f>
        <v>451.80590000000001</v>
      </c>
    </row>
    <row r="44" spans="1:12" x14ac:dyDescent="0.2">
      <c r="A44" s="942"/>
      <c r="B44" s="942"/>
      <c r="C44" s="942"/>
      <c r="D44" s="942"/>
      <c r="E44" s="942"/>
      <c r="F44" s="942"/>
      <c r="G44" s="942"/>
      <c r="H44" s="942"/>
      <c r="I44" s="1203"/>
      <c r="J44" s="1203"/>
      <c r="K44" s="1203"/>
      <c r="L44" s="1204"/>
    </row>
    <row r="45" spans="1:12" x14ac:dyDescent="0.2">
      <c r="A45" s="1462" t="s">
        <v>560</v>
      </c>
      <c r="B45" s="1462"/>
      <c r="C45" s="1462"/>
      <c r="D45" s="1462"/>
      <c r="E45" s="1462"/>
      <c r="F45" s="1462"/>
      <c r="G45" s="1462"/>
      <c r="H45" s="1460" t="s">
        <v>166</v>
      </c>
      <c r="I45" s="1460"/>
      <c r="J45" s="1460" t="s">
        <v>165</v>
      </c>
      <c r="K45" s="1076" t="s">
        <v>501</v>
      </c>
      <c r="L45" s="1076" t="s">
        <v>484</v>
      </c>
    </row>
    <row r="46" spans="1:12" x14ac:dyDescent="0.2">
      <c r="A46" s="1462"/>
      <c r="B46" s="1462"/>
      <c r="C46" s="1462"/>
      <c r="D46" s="1462"/>
      <c r="E46" s="1462"/>
      <c r="F46" s="1462"/>
      <c r="G46" s="1462"/>
      <c r="H46" s="1460"/>
      <c r="I46" s="1460"/>
      <c r="J46" s="1460"/>
      <c r="K46" s="1110" t="s">
        <v>451</v>
      </c>
      <c r="L46" s="1026" t="s">
        <v>451</v>
      </c>
    </row>
    <row r="47" spans="1:12" ht="52.5" customHeight="1" x14ac:dyDescent="0.2">
      <c r="A47" s="1513" t="s">
        <v>752</v>
      </c>
      <c r="B47" s="1513"/>
      <c r="C47" s="979" t="s">
        <v>442</v>
      </c>
      <c r="D47" s="1520" t="s">
        <v>753</v>
      </c>
      <c r="E47" s="1520"/>
      <c r="F47" s="1520"/>
      <c r="G47" s="1520"/>
      <c r="H47" s="1521">
        <v>1</v>
      </c>
      <c r="I47" s="1521"/>
      <c r="J47" s="1113" t="s">
        <v>40</v>
      </c>
      <c r="K47" s="1044">
        <v>2431.27</v>
      </c>
      <c r="L47" s="1164">
        <f>K47*H47</f>
        <v>2431.27</v>
      </c>
    </row>
    <row r="48" spans="1:12" x14ac:dyDescent="0.2">
      <c r="A48" s="1134"/>
      <c r="B48" s="923"/>
      <c r="C48" s="979"/>
      <c r="D48" s="1206" t="s">
        <v>561</v>
      </c>
      <c r="E48" s="942"/>
      <c r="F48" s="1109" t="s">
        <v>562</v>
      </c>
      <c r="G48" s="1207" t="s">
        <v>44</v>
      </c>
      <c r="H48" s="1495"/>
      <c r="I48" s="1495"/>
      <c r="J48" s="1113"/>
      <c r="K48" s="1044"/>
      <c r="L48" s="986"/>
    </row>
    <row r="49" spans="1:12" x14ac:dyDescent="0.2">
      <c r="A49" s="1114"/>
      <c r="B49" s="979"/>
      <c r="C49" s="979"/>
      <c r="D49" s="1083"/>
      <c r="E49" s="1083"/>
      <c r="F49" s="1083"/>
      <c r="G49" s="1115"/>
      <c r="H49" s="1512"/>
      <c r="I49" s="1512"/>
      <c r="J49" s="1113"/>
      <c r="K49" s="1044"/>
      <c r="L49" s="1098"/>
    </row>
    <row r="50" spans="1:12" x14ac:dyDescent="0.2">
      <c r="A50" s="1454" t="s">
        <v>563</v>
      </c>
      <c r="B50" s="1454"/>
      <c r="C50" s="1454"/>
      <c r="D50" s="1454"/>
      <c r="E50" s="1454"/>
      <c r="F50" s="1454"/>
      <c r="G50" s="1454"/>
      <c r="H50" s="1454"/>
      <c r="I50" s="1454"/>
      <c r="J50" s="1454"/>
      <c r="K50" s="1454"/>
      <c r="L50" s="1208">
        <f>ROUND(SUM(L47:L49),4)</f>
        <v>2431.27</v>
      </c>
    </row>
    <row r="51" spans="1:12" x14ac:dyDescent="0.2">
      <c r="A51" s="910"/>
      <c r="B51" s="910"/>
      <c r="C51" s="910"/>
      <c r="D51" s="910"/>
      <c r="E51" s="910"/>
      <c r="F51" s="910"/>
      <c r="G51" s="1109"/>
      <c r="H51" s="1109"/>
      <c r="I51" s="933"/>
      <c r="J51" s="933"/>
      <c r="K51" s="933"/>
      <c r="L51" s="910"/>
    </row>
    <row r="52" spans="1:12" ht="13.9" customHeight="1" x14ac:dyDescent="0.2">
      <c r="A52" s="1507" t="s">
        <v>564</v>
      </c>
      <c r="B52" s="1507"/>
      <c r="C52" s="1507"/>
      <c r="D52" s="1507"/>
      <c r="E52" s="1507"/>
      <c r="F52" s="1507"/>
      <c r="G52" s="1508" t="s">
        <v>531</v>
      </c>
      <c r="H52" s="1509" t="s">
        <v>532</v>
      </c>
      <c r="I52" s="1509"/>
      <c r="J52" s="1509"/>
      <c r="K52" s="1154" t="s">
        <v>533</v>
      </c>
      <c r="L52" s="1154" t="s">
        <v>534</v>
      </c>
    </row>
    <row r="53" spans="1:12" x14ac:dyDescent="0.2">
      <c r="A53" s="1507"/>
      <c r="B53" s="1507"/>
      <c r="C53" s="1507"/>
      <c r="D53" s="1507"/>
      <c r="E53" s="1507"/>
      <c r="F53" s="1507"/>
      <c r="G53" s="1508"/>
      <c r="H53" s="1509"/>
      <c r="I53" s="1509"/>
      <c r="J53" s="1509"/>
      <c r="K53" s="1155" t="s">
        <v>535</v>
      </c>
      <c r="L53" s="1156"/>
    </row>
    <row r="54" spans="1:12" x14ac:dyDescent="0.2">
      <c r="A54" s="1157" t="s">
        <v>536</v>
      </c>
      <c r="B54" s="1158"/>
      <c r="C54" s="1158"/>
      <c r="D54" s="1158"/>
      <c r="E54" s="1158"/>
      <c r="F54" s="1159"/>
      <c r="G54" s="1160">
        <v>0.84040000000000004</v>
      </c>
      <c r="H54" s="1161" t="s">
        <v>537</v>
      </c>
      <c r="I54" s="1162"/>
      <c r="J54" s="1163"/>
      <c r="K54" s="954">
        <f>L36</f>
        <v>410.73590000000002</v>
      </c>
      <c r="L54" s="1164">
        <f>K54*G54</f>
        <v>345.18245036000002</v>
      </c>
    </row>
    <row r="55" spans="1:12" x14ac:dyDescent="0.2">
      <c r="A55" s="1165" t="s">
        <v>538</v>
      </c>
      <c r="B55" s="1166"/>
      <c r="C55" s="1166"/>
      <c r="D55" s="1166"/>
      <c r="E55" s="1166"/>
      <c r="F55" s="1167"/>
      <c r="G55" s="1168">
        <v>0.2</v>
      </c>
      <c r="H55" s="1169"/>
      <c r="I55" s="1170"/>
      <c r="J55" s="1171"/>
      <c r="K55" s="964"/>
      <c r="L55" s="986"/>
    </row>
    <row r="56" spans="1:12" x14ac:dyDescent="0.2">
      <c r="A56" s="1165" t="s">
        <v>539</v>
      </c>
      <c r="B56" s="1166"/>
      <c r="C56" s="1166"/>
      <c r="D56" s="1166"/>
      <c r="E56" s="1166"/>
      <c r="F56" s="1167"/>
      <c r="G56" s="1168">
        <v>0.3</v>
      </c>
      <c r="H56" s="1169" t="s">
        <v>537</v>
      </c>
      <c r="I56" s="1170"/>
      <c r="J56" s="1171"/>
      <c r="K56" s="964">
        <f>L36</f>
        <v>410.73590000000002</v>
      </c>
      <c r="L56" s="986">
        <f>K56*(G56)</f>
        <v>123.22077</v>
      </c>
    </row>
    <row r="57" spans="1:12" x14ac:dyDescent="0.2">
      <c r="A57" s="1165" t="s">
        <v>540</v>
      </c>
      <c r="B57" s="1166"/>
      <c r="C57" s="1166"/>
      <c r="D57" s="1166"/>
      <c r="E57" s="1166"/>
      <c r="F57" s="1167"/>
      <c r="G57" s="1168">
        <v>0.12</v>
      </c>
      <c r="H57" s="1169" t="s">
        <v>541</v>
      </c>
      <c r="I57" s="1170"/>
      <c r="J57" s="1171"/>
      <c r="K57" s="964">
        <f>L43+L50+L54+L56</f>
        <v>3351.4791203599998</v>
      </c>
      <c r="L57" s="986">
        <f>(K57/(1-G57))-K57</f>
        <v>457.01988004909072</v>
      </c>
    </row>
    <row r="58" spans="1:12" x14ac:dyDescent="0.2">
      <c r="A58" s="1172" t="s">
        <v>542</v>
      </c>
      <c r="B58" s="1173"/>
      <c r="C58" s="1173"/>
      <c r="D58" s="1173"/>
      <c r="E58" s="1173"/>
      <c r="F58" s="1174"/>
      <c r="G58" s="1175">
        <v>0.1396</v>
      </c>
      <c r="H58" s="1176" t="s">
        <v>543</v>
      </c>
      <c r="I58" s="1177"/>
      <c r="J58" s="1178"/>
      <c r="K58" s="1179">
        <f>K57+L57</f>
        <v>3808.4990004090905</v>
      </c>
      <c r="L58" s="986">
        <f>(K58/(1-G58))-K58</f>
        <v>617.92940545921556</v>
      </c>
    </row>
    <row r="59" spans="1:12" x14ac:dyDescent="0.2">
      <c r="A59" s="1510" t="s">
        <v>544</v>
      </c>
      <c r="B59" s="1510"/>
      <c r="C59" s="1510"/>
      <c r="D59" s="1510"/>
      <c r="E59" s="1510"/>
      <c r="F59" s="1510"/>
      <c r="G59" s="1510"/>
      <c r="H59" s="1510"/>
      <c r="I59" s="1510"/>
      <c r="J59" s="1510"/>
      <c r="K59" s="1510"/>
      <c r="L59" s="1056">
        <f>ROUND(SUM(L54:L58),4)</f>
        <v>1543.3525</v>
      </c>
    </row>
    <row r="60" spans="1:12" x14ac:dyDescent="0.2">
      <c r="A60" s="910"/>
      <c r="B60" s="910"/>
      <c r="C60" s="910"/>
      <c r="D60" s="910"/>
      <c r="E60" s="910"/>
      <c r="F60" s="910"/>
      <c r="G60" s="1109"/>
      <c r="H60" s="1109"/>
      <c r="I60" s="933"/>
      <c r="J60" s="933"/>
      <c r="K60" s="933"/>
      <c r="L60" s="910"/>
    </row>
    <row r="61" spans="1:12" x14ac:dyDescent="0.2">
      <c r="A61" s="1454" t="s">
        <v>545</v>
      </c>
      <c r="B61" s="1454"/>
      <c r="C61" s="1454"/>
      <c r="D61" s="1454"/>
      <c r="E61" s="1454"/>
      <c r="F61" s="1454"/>
      <c r="G61" s="1454"/>
      <c r="H61" s="1454"/>
      <c r="I61" s="1454"/>
      <c r="J61" s="1454"/>
      <c r="K61" s="1454"/>
      <c r="L61" s="1025">
        <f>ROUND(L59+L43+L50,4)</f>
        <v>4426.4283999999998</v>
      </c>
    </row>
    <row r="62" spans="1:12" x14ac:dyDescent="0.2">
      <c r="A62" s="1455"/>
      <c r="B62" s="1455"/>
      <c r="C62" s="1455"/>
      <c r="D62" s="1455"/>
      <c r="E62" s="1455"/>
      <c r="F62" s="1455"/>
      <c r="G62" s="1455"/>
      <c r="H62" s="1455"/>
      <c r="I62" s="1455"/>
      <c r="J62" s="1455"/>
      <c r="K62" s="1055"/>
      <c r="L62" s="1209"/>
    </row>
    <row r="63" spans="1:12" x14ac:dyDescent="0.2">
      <c r="A63" s="1456" t="s">
        <v>462</v>
      </c>
      <c r="B63" s="1456"/>
      <c r="C63" s="1456"/>
      <c r="D63" s="1456"/>
      <c r="E63" s="1456"/>
      <c r="F63" s="1456"/>
      <c r="G63" s="1456"/>
      <c r="H63" s="1456"/>
      <c r="I63" s="1456"/>
      <c r="J63" s="1456"/>
      <c r="K63" s="1456"/>
      <c r="L63" s="1126">
        <f>ROUND(L61,2)</f>
        <v>4426.43</v>
      </c>
    </row>
    <row r="64" spans="1:12" ht="9" customHeight="1" x14ac:dyDescent="0.2">
      <c r="A64" s="1058"/>
      <c r="B64" s="1058"/>
      <c r="C64" s="1058"/>
      <c r="D64" s="1058"/>
      <c r="E64" s="1058"/>
      <c r="F64" s="1058"/>
      <c r="G64" s="1058"/>
      <c r="H64" s="1058"/>
      <c r="I64" s="1058"/>
      <c r="J64" s="1058"/>
      <c r="K64" s="1058"/>
      <c r="L64" s="1058"/>
    </row>
    <row r="65" spans="1:12" ht="48" customHeight="1" x14ac:dyDescent="0.2">
      <c r="A65" s="1059" t="s">
        <v>463</v>
      </c>
      <c r="B65" s="1060"/>
      <c r="C65" s="1518" t="s">
        <v>565</v>
      </c>
      <c r="D65" s="1518"/>
      <c r="E65" s="1518"/>
      <c r="F65" s="1518"/>
      <c r="G65" s="1518"/>
      <c r="H65" s="1518"/>
      <c r="I65" s="1518"/>
      <c r="J65" s="1518"/>
      <c r="K65" s="1518"/>
      <c r="L65" s="1518"/>
    </row>
    <row r="66" spans="1:12" ht="13.9" customHeight="1" x14ac:dyDescent="0.2">
      <c r="A66" s="1210"/>
      <c r="B66" s="1184"/>
      <c r="C66" s="1519" t="s">
        <v>566</v>
      </c>
      <c r="D66" s="1519"/>
      <c r="E66" s="1519"/>
      <c r="F66" s="1519"/>
      <c r="G66" s="1519"/>
      <c r="H66" s="1519"/>
      <c r="I66" s="1519"/>
      <c r="J66" s="1519"/>
      <c r="K66" s="1519"/>
      <c r="L66" s="1519"/>
    </row>
    <row r="67" spans="1:12" ht="22.5" customHeight="1" x14ac:dyDescent="0.2">
      <c r="A67" s="1071"/>
      <c r="B67" s="1129"/>
      <c r="C67" s="1517" t="s">
        <v>567</v>
      </c>
      <c r="D67" s="1517"/>
      <c r="E67" s="1517"/>
      <c r="F67" s="1517"/>
      <c r="G67" s="1517"/>
      <c r="H67" s="1517"/>
      <c r="I67" s="1517"/>
      <c r="J67" s="1517"/>
      <c r="K67" s="1517"/>
      <c r="L67" s="1517"/>
    </row>
  </sheetData>
  <mergeCells count="44">
    <mergeCell ref="A1:L1"/>
    <mergeCell ref="A2:L2"/>
    <mergeCell ref="A3:L3"/>
    <mergeCell ref="A4:L4"/>
    <mergeCell ref="A5:K5"/>
    <mergeCell ref="A6:K6"/>
    <mergeCell ref="A7:K7"/>
    <mergeCell ref="L7:L8"/>
    <mergeCell ref="A10:L10"/>
    <mergeCell ref="A12:D12"/>
    <mergeCell ref="A15:L16"/>
    <mergeCell ref="E18:J18"/>
    <mergeCell ref="A20:F21"/>
    <mergeCell ref="G20:G21"/>
    <mergeCell ref="H20:I20"/>
    <mergeCell ref="J20:K20"/>
    <mergeCell ref="A22:B22"/>
    <mergeCell ref="D22:F22"/>
    <mergeCell ref="A24:K24"/>
    <mergeCell ref="A26:I27"/>
    <mergeCell ref="J26:J27"/>
    <mergeCell ref="K26:K27"/>
    <mergeCell ref="A36:K36"/>
    <mergeCell ref="A43:H43"/>
    <mergeCell ref="I43:K43"/>
    <mergeCell ref="A45:G46"/>
    <mergeCell ref="H45:I46"/>
    <mergeCell ref="J45:J46"/>
    <mergeCell ref="A47:B47"/>
    <mergeCell ref="D47:G47"/>
    <mergeCell ref="H47:I47"/>
    <mergeCell ref="H48:I48"/>
    <mergeCell ref="H49:I49"/>
    <mergeCell ref="A50:K50"/>
    <mergeCell ref="A52:F53"/>
    <mergeCell ref="G52:G53"/>
    <mergeCell ref="H52:J53"/>
    <mergeCell ref="A59:K59"/>
    <mergeCell ref="C67:L67"/>
    <mergeCell ref="A61:K61"/>
    <mergeCell ref="A62:J62"/>
    <mergeCell ref="A63:K63"/>
    <mergeCell ref="C65:L65"/>
    <mergeCell ref="C66:L66"/>
  </mergeCells>
  <dataValidations count="2">
    <dataValidation allowBlank="1" showInputMessage="1" showErrorMessage="1" prompt="Clique duas vezes sobre o número do item para ser direcionado à Planilha Orçamentária." sqref="D18" xr:uid="{00000000-0002-0000-0B00-000000000000}">
      <formula1>0</formula1>
      <formula2>0</formula2>
    </dataValidation>
    <dataValidation type="list" showInputMessage="1" showErrorMessage="1" prompt="Quando &quot;Não&quot; for selecionado, serão contemplados a Remuneração da Empresa no serviço auxiliar Levantamento Topográfico bem como suas Despesas Fiscais." sqref="G48" xr:uid="{00000000-0002-0000-0B00-000001000000}">
      <formula1>$M$48:$M$48</formula1>
      <formula2>0</formula2>
    </dataValidation>
  </dataValidations>
  <printOptions horizontalCentered="1" verticalCentered="1"/>
  <pageMargins left="0.51180555555555496" right="0.51180555555555496" top="0.78749999999999998" bottom="0.78749999999999998" header="0.51180555555555496" footer="0.51180555555555496"/>
  <pageSetup paperSize="9" scale="67" firstPageNumber="0"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73"/>
  <sheetViews>
    <sheetView topLeftCell="A52" zoomScale="83" zoomScaleNormal="83" workbookViewId="0">
      <selection activeCell="P139" sqref="P139"/>
    </sheetView>
  </sheetViews>
  <sheetFormatPr defaultRowHeight="15" x14ac:dyDescent="0.2"/>
  <cols>
    <col min="1" max="2" width="7.6640625" style="902" customWidth="1"/>
    <col min="3" max="3" width="1.61328125" style="902" customWidth="1"/>
    <col min="4" max="4" width="3.765625" style="902" customWidth="1"/>
    <col min="5" max="5" width="23.67578125" style="902" customWidth="1"/>
    <col min="6" max="6" width="12.64453125" style="902" customWidth="1"/>
    <col min="7" max="8" width="8.7421875" style="902" customWidth="1"/>
    <col min="9" max="9" width="8.33984375" style="902" customWidth="1"/>
    <col min="10" max="10" width="8.7421875" style="902" customWidth="1"/>
    <col min="11" max="11" width="9.68359375" style="902" customWidth="1"/>
    <col min="12" max="12" width="10.76171875" style="902" customWidth="1"/>
    <col min="13" max="1025" width="8.7421875" customWidth="1"/>
  </cols>
  <sheetData>
    <row r="1" spans="1:12" x14ac:dyDescent="0.2">
      <c r="A1" s="1474"/>
      <c r="B1" s="1474"/>
      <c r="C1" s="1474"/>
      <c r="D1" s="1474"/>
      <c r="E1" s="1474"/>
      <c r="F1" s="1474"/>
      <c r="G1" s="1474"/>
      <c r="H1" s="1474"/>
      <c r="I1" s="1474"/>
      <c r="J1" s="1474"/>
      <c r="K1" s="1474"/>
      <c r="L1" s="1474"/>
    </row>
    <row r="2" spans="1:12" x14ac:dyDescent="0.2">
      <c r="A2" s="1475" t="s">
        <v>629</v>
      </c>
      <c r="B2" s="1475"/>
      <c r="C2" s="1475"/>
      <c r="D2" s="1475"/>
      <c r="E2" s="1475"/>
      <c r="F2" s="1475"/>
      <c r="G2" s="1475"/>
      <c r="H2" s="1475"/>
      <c r="I2" s="1475"/>
      <c r="J2" s="1475"/>
      <c r="K2" s="1475"/>
      <c r="L2" s="1475"/>
    </row>
    <row r="3" spans="1:12" x14ac:dyDescent="0.2">
      <c r="A3" s="1474"/>
      <c r="B3" s="1474"/>
      <c r="C3" s="1474"/>
      <c r="D3" s="1474"/>
      <c r="E3" s="1474"/>
      <c r="F3" s="1474"/>
      <c r="G3" s="1474"/>
      <c r="H3" s="1474"/>
      <c r="I3" s="1474"/>
      <c r="J3" s="1474"/>
      <c r="K3" s="1474"/>
      <c r="L3" s="1474"/>
    </row>
    <row r="4" spans="1:12" x14ac:dyDescent="0.2">
      <c r="A4" s="1476"/>
      <c r="B4" s="1476"/>
      <c r="C4" s="1476"/>
      <c r="D4" s="1476"/>
      <c r="E4" s="1476"/>
      <c r="F4" s="1476"/>
      <c r="G4" s="1476"/>
      <c r="H4" s="1476"/>
      <c r="I4" s="1476"/>
      <c r="J4" s="1476"/>
      <c r="K4" s="1476"/>
      <c r="L4" s="1476"/>
    </row>
    <row r="5" spans="1:12" x14ac:dyDescent="0.2">
      <c r="A5" s="1477"/>
      <c r="B5" s="1477"/>
      <c r="C5" s="1477"/>
      <c r="D5" s="1477"/>
      <c r="E5" s="1477"/>
      <c r="F5" s="1477"/>
      <c r="G5" s="1477"/>
      <c r="H5" s="1477"/>
      <c r="I5" s="1477"/>
      <c r="J5" s="1477"/>
      <c r="K5" s="1477"/>
      <c r="L5" s="903" t="s">
        <v>419</v>
      </c>
    </row>
    <row r="6" spans="1:12" x14ac:dyDescent="0.2">
      <c r="A6" s="1469"/>
      <c r="B6" s="1469"/>
      <c r="C6" s="1469"/>
      <c r="D6" s="1469"/>
      <c r="E6" s="1469"/>
      <c r="F6" s="1469"/>
      <c r="G6" s="1469"/>
      <c r="H6" s="1469"/>
      <c r="I6" s="1469"/>
      <c r="J6" s="1469"/>
      <c r="K6" s="1469"/>
      <c r="L6" s="1075"/>
    </row>
    <row r="7" spans="1:12" ht="13.9" customHeight="1" x14ac:dyDescent="0.2">
      <c r="A7" s="1469"/>
      <c r="B7" s="1469"/>
      <c r="C7" s="1469"/>
      <c r="D7" s="1469"/>
      <c r="E7" s="1469"/>
      <c r="F7" s="1469"/>
      <c r="G7" s="1469"/>
      <c r="H7" s="1469"/>
      <c r="I7" s="1469"/>
      <c r="J7" s="1469"/>
      <c r="K7" s="1469"/>
      <c r="L7" s="1470" t="s">
        <v>568</v>
      </c>
    </row>
    <row r="8" spans="1:12" x14ac:dyDescent="0.2">
      <c r="A8" s="904"/>
      <c r="B8" s="905"/>
      <c r="C8" s="906"/>
      <c r="D8" s="907"/>
      <c r="E8" s="908"/>
      <c r="F8" s="906"/>
      <c r="G8" s="906"/>
      <c r="H8" s="906"/>
      <c r="I8" s="906"/>
      <c r="J8" s="906"/>
      <c r="K8" s="909"/>
      <c r="L8" s="1470"/>
    </row>
    <row r="9" spans="1:12" x14ac:dyDescent="0.2">
      <c r="A9" s="910"/>
      <c r="B9" s="910"/>
      <c r="C9" s="911"/>
      <c r="D9" s="912"/>
      <c r="E9" s="912"/>
      <c r="F9" s="913"/>
      <c r="G9" s="913"/>
      <c r="H9" s="913"/>
      <c r="I9" s="913"/>
      <c r="J9" s="913"/>
      <c r="K9" s="913"/>
      <c r="L9" s="914"/>
    </row>
    <row r="10" spans="1:12" x14ac:dyDescent="0.2">
      <c r="A10" s="1471"/>
      <c r="B10" s="1471"/>
      <c r="C10" s="1471"/>
      <c r="D10" s="1471"/>
      <c r="E10" s="1471"/>
      <c r="F10" s="1471"/>
      <c r="G10" s="1471"/>
      <c r="H10" s="1471"/>
      <c r="I10" s="1471"/>
      <c r="J10" s="1471"/>
      <c r="K10" s="1471"/>
      <c r="L10" s="1471"/>
    </row>
    <row r="11" spans="1:12" x14ac:dyDescent="0.2">
      <c r="A11" s="915"/>
      <c r="B11" s="912"/>
      <c r="C11" s="911"/>
      <c r="D11" s="912"/>
      <c r="E11" s="911"/>
      <c r="F11" s="911"/>
      <c r="G11" s="911"/>
      <c r="H11" s="911"/>
      <c r="I11" s="911"/>
      <c r="J11" s="911"/>
      <c r="K11" s="911"/>
      <c r="L11" s="916"/>
    </row>
    <row r="12" spans="1:12" x14ac:dyDescent="0.2">
      <c r="A12" s="1472" t="s">
        <v>421</v>
      </c>
      <c r="B12" s="1472"/>
      <c r="C12" s="1472"/>
      <c r="D12" s="1472"/>
      <c r="E12" s="917" t="s">
        <v>648</v>
      </c>
      <c r="F12" s="918"/>
      <c r="G12" s="918"/>
      <c r="H12" s="918"/>
      <c r="I12" s="918"/>
      <c r="J12" s="918"/>
      <c r="K12" s="918"/>
      <c r="L12" s="919"/>
    </row>
    <row r="13" spans="1:12" x14ac:dyDescent="0.2">
      <c r="A13" s="920"/>
      <c r="B13" s="907"/>
      <c r="C13" s="921"/>
      <c r="D13" s="907"/>
      <c r="E13" s="907"/>
      <c r="F13" s="906"/>
      <c r="G13" s="906"/>
      <c r="H13" s="906"/>
      <c r="I13" s="906"/>
      <c r="J13" s="906"/>
      <c r="K13" s="906"/>
      <c r="L13" s="922"/>
    </row>
    <row r="14" spans="1:12" x14ac:dyDescent="0.2">
      <c r="A14" s="913"/>
      <c r="B14" s="913"/>
      <c r="C14" s="913"/>
      <c r="D14" s="913"/>
      <c r="E14" s="913"/>
      <c r="F14" s="913"/>
      <c r="G14" s="913"/>
      <c r="H14" s="913"/>
      <c r="I14" s="913"/>
      <c r="J14" s="913"/>
      <c r="K14" s="913"/>
      <c r="L14" s="914"/>
    </row>
    <row r="15" spans="1:12" x14ac:dyDescent="0.2">
      <c r="A15" s="1473" t="s">
        <v>422</v>
      </c>
      <c r="B15" s="1473"/>
      <c r="C15" s="1473"/>
      <c r="D15" s="1473"/>
      <c r="E15" s="1473"/>
      <c r="F15" s="1473"/>
      <c r="G15" s="1473"/>
      <c r="H15" s="1473"/>
      <c r="I15" s="1473"/>
      <c r="J15" s="1473"/>
      <c r="K15" s="1473"/>
      <c r="L15" s="1473"/>
    </row>
    <row r="16" spans="1:12" x14ac:dyDescent="0.2">
      <c r="A16" s="1473"/>
      <c r="B16" s="1473"/>
      <c r="C16" s="1473"/>
      <c r="D16" s="1473"/>
      <c r="E16" s="1473"/>
      <c r="F16" s="1473"/>
      <c r="G16" s="1473"/>
      <c r="H16" s="1473"/>
      <c r="I16" s="1473"/>
      <c r="J16" s="1473"/>
      <c r="K16" s="1473"/>
      <c r="L16" s="1473"/>
    </row>
    <row r="17" spans="1:12" x14ac:dyDescent="0.2">
      <c r="A17" s="923"/>
      <c r="B17" s="923"/>
      <c r="C17" s="923"/>
      <c r="D17" s="923"/>
      <c r="E17" s="923"/>
      <c r="F17" s="923"/>
      <c r="G17" s="923"/>
      <c r="H17" s="923"/>
      <c r="I17" s="923"/>
      <c r="J17" s="923"/>
      <c r="K17" s="923"/>
      <c r="L17" s="923"/>
    </row>
    <row r="18" spans="1:12" x14ac:dyDescent="0.2">
      <c r="A18" s="924" t="s">
        <v>423</v>
      </c>
      <c r="B18" s="925"/>
      <c r="C18" s="925"/>
      <c r="D18" s="926" t="s">
        <v>568</v>
      </c>
      <c r="E18" s="1498" t="s">
        <v>569</v>
      </c>
      <c r="F18" s="1498"/>
      <c r="G18" s="1498"/>
      <c r="H18" s="1498"/>
      <c r="I18" s="1498"/>
      <c r="J18" s="1498"/>
      <c r="K18" s="928" t="s">
        <v>425</v>
      </c>
      <c r="L18" s="927" t="s">
        <v>518</v>
      </c>
    </row>
    <row r="19" spans="1:12" x14ac:dyDescent="0.2">
      <c r="A19" s="910"/>
      <c r="B19" s="910"/>
      <c r="C19" s="910"/>
      <c r="D19" s="910"/>
      <c r="E19" s="910"/>
      <c r="F19" s="910"/>
      <c r="G19" s="910"/>
      <c r="H19" s="910"/>
      <c r="I19" s="910"/>
      <c r="J19" s="910"/>
      <c r="K19" s="910"/>
      <c r="L19" s="910"/>
    </row>
    <row r="20" spans="1:12" x14ac:dyDescent="0.2">
      <c r="A20" s="1499" t="s">
        <v>434</v>
      </c>
      <c r="B20" s="1499"/>
      <c r="C20" s="1499"/>
      <c r="D20" s="1499"/>
      <c r="E20" s="1499"/>
      <c r="F20" s="1499"/>
      <c r="G20" s="1460" t="s">
        <v>166</v>
      </c>
      <c r="H20" s="1460" t="s">
        <v>362</v>
      </c>
      <c r="I20" s="1460"/>
      <c r="J20" s="1500" t="s">
        <v>483</v>
      </c>
      <c r="K20" s="1500"/>
      <c r="L20" s="1076" t="s">
        <v>484</v>
      </c>
    </row>
    <row r="21" spans="1:12" x14ac:dyDescent="0.2">
      <c r="A21" s="1499"/>
      <c r="B21" s="1499"/>
      <c r="C21" s="1499"/>
      <c r="D21" s="1499"/>
      <c r="E21" s="1499"/>
      <c r="F21" s="1499"/>
      <c r="G21" s="1460"/>
      <c r="H21" s="943" t="s">
        <v>485</v>
      </c>
      <c r="I21" s="1077" t="s">
        <v>486</v>
      </c>
      <c r="J21" s="943" t="s">
        <v>485</v>
      </c>
      <c r="K21" s="1077" t="s">
        <v>486</v>
      </c>
      <c r="L21" s="1026" t="s">
        <v>487</v>
      </c>
    </row>
    <row r="22" spans="1:12" x14ac:dyDescent="0.2">
      <c r="A22" s="1078"/>
      <c r="B22" s="1079"/>
      <c r="C22" s="1050"/>
      <c r="D22" s="1049"/>
      <c r="E22" s="932"/>
      <c r="F22" s="934"/>
      <c r="G22" s="1211"/>
      <c r="H22" s="1116"/>
      <c r="I22" s="961"/>
      <c r="J22" s="986"/>
      <c r="K22" s="986"/>
      <c r="L22" s="986">
        <f>ROUND((G22*H22*J22)+(G22*I22*K22),4)</f>
        <v>0</v>
      </c>
    </row>
    <row r="23" spans="1:12" x14ac:dyDescent="0.2">
      <c r="A23" s="1043"/>
      <c r="B23" s="1130"/>
      <c r="C23" s="979"/>
      <c r="D23" s="942"/>
      <c r="E23" s="910"/>
      <c r="F23" s="937"/>
      <c r="G23" s="1211"/>
      <c r="H23" s="1116"/>
      <c r="I23" s="961"/>
      <c r="J23" s="986"/>
      <c r="K23" s="963"/>
      <c r="L23" s="986">
        <f>ROUND((G23*H23*J23)+(G23*I23*K23),4)</f>
        <v>0</v>
      </c>
    </row>
    <row r="24" spans="1:12" x14ac:dyDescent="0.2">
      <c r="A24" s="1043"/>
      <c r="B24" s="1130"/>
      <c r="C24" s="979"/>
      <c r="D24" s="942"/>
      <c r="E24" s="910"/>
      <c r="F24" s="937"/>
      <c r="G24" s="1211"/>
      <c r="H24" s="1116"/>
      <c r="I24" s="961"/>
      <c r="J24" s="986"/>
      <c r="K24" s="963"/>
      <c r="L24" s="986">
        <f>ROUND((G24*H24*J24)+(G24*I24*K24),4)</f>
        <v>0</v>
      </c>
    </row>
    <row r="25" spans="1:12" x14ac:dyDescent="0.2">
      <c r="A25" s="1082"/>
      <c r="B25" s="1083"/>
      <c r="C25" s="1077"/>
      <c r="D25" s="1083"/>
      <c r="E25" s="1083"/>
      <c r="F25" s="1084"/>
      <c r="G25" s="1212"/>
      <c r="H25" s="1116"/>
      <c r="I25" s="961"/>
      <c r="J25" s="1098"/>
      <c r="K25" s="963"/>
      <c r="L25" s="986">
        <f>ROUND((G25*H25*J25)+(G25*I25*K25),4)</f>
        <v>0</v>
      </c>
    </row>
    <row r="26" spans="1:12" x14ac:dyDescent="0.2">
      <c r="A26" s="1497" t="s">
        <v>488</v>
      </c>
      <c r="B26" s="1497"/>
      <c r="C26" s="1497"/>
      <c r="D26" s="1497"/>
      <c r="E26" s="1497"/>
      <c r="F26" s="1497"/>
      <c r="G26" s="1497"/>
      <c r="H26" s="1497"/>
      <c r="I26" s="1497"/>
      <c r="J26" s="1497"/>
      <c r="K26" s="1497"/>
      <c r="L26" s="1088">
        <f>ROUND(SUM(L22:L25),4)</f>
        <v>0</v>
      </c>
    </row>
    <row r="27" spans="1:12" x14ac:dyDescent="0.2">
      <c r="A27" s="930"/>
      <c r="B27" s="930"/>
      <c r="C27" s="930"/>
      <c r="D27" s="930"/>
      <c r="E27" s="930"/>
      <c r="F27" s="930"/>
      <c r="G27" s="930"/>
      <c r="H27" s="1023"/>
      <c r="I27" s="1023"/>
      <c r="J27" s="1023"/>
      <c r="K27" s="1023"/>
      <c r="L27" s="1023"/>
    </row>
    <row r="28" spans="1:12" ht="13.9" customHeight="1" x14ac:dyDescent="0.2">
      <c r="A28" s="1462" t="s">
        <v>447</v>
      </c>
      <c r="B28" s="1462"/>
      <c r="C28" s="1462"/>
      <c r="D28" s="1462"/>
      <c r="E28" s="1462"/>
      <c r="F28" s="1462"/>
      <c r="G28" s="1462"/>
      <c r="H28" s="1462"/>
      <c r="I28" s="1462"/>
      <c r="J28" s="1460" t="s">
        <v>166</v>
      </c>
      <c r="K28" s="1452" t="s">
        <v>570</v>
      </c>
      <c r="L28" s="1076" t="s">
        <v>449</v>
      </c>
    </row>
    <row r="29" spans="1:12" x14ac:dyDescent="0.2">
      <c r="A29" s="1462"/>
      <c r="B29" s="1462"/>
      <c r="C29" s="1462"/>
      <c r="D29" s="1462"/>
      <c r="E29" s="1462"/>
      <c r="F29" s="1462"/>
      <c r="G29" s="1462"/>
      <c r="H29" s="1462"/>
      <c r="I29" s="1462"/>
      <c r="J29" s="1460"/>
      <c r="K29" s="1452"/>
      <c r="L29" s="1026" t="s">
        <v>487</v>
      </c>
    </row>
    <row r="30" spans="1:12" x14ac:dyDescent="0.2">
      <c r="A30" s="1078" t="s">
        <v>379</v>
      </c>
      <c r="B30" s="946" t="s">
        <v>683</v>
      </c>
      <c r="C30" s="1050" t="s">
        <v>442</v>
      </c>
      <c r="D30" s="1049" t="s">
        <v>684</v>
      </c>
      <c r="E30" s="1049"/>
      <c r="F30" s="1049"/>
      <c r="G30" s="932"/>
      <c r="H30" s="1050"/>
      <c r="I30" s="1089"/>
      <c r="J30" s="1213">
        <v>0.2</v>
      </c>
      <c r="K30" s="1091">
        <v>10831.32</v>
      </c>
      <c r="L30" s="954">
        <f t="shared" ref="L30:L36" si="0">ROUND(J30*K30,4)</f>
        <v>2166.2640000000001</v>
      </c>
    </row>
    <row r="31" spans="1:12" x14ac:dyDescent="0.2">
      <c r="A31" s="1043" t="s">
        <v>379</v>
      </c>
      <c r="B31" s="958" t="s">
        <v>754</v>
      </c>
      <c r="C31" s="979" t="s">
        <v>442</v>
      </c>
      <c r="D31" s="942" t="s">
        <v>755</v>
      </c>
      <c r="E31" s="942"/>
      <c r="F31" s="942"/>
      <c r="G31" s="910"/>
      <c r="H31" s="979"/>
      <c r="I31" s="1092"/>
      <c r="J31" s="1214">
        <v>1</v>
      </c>
      <c r="K31" s="1044">
        <v>4547.5339999999997</v>
      </c>
      <c r="L31" s="964">
        <f t="shared" si="0"/>
        <v>4547.5339999999997</v>
      </c>
    </row>
    <row r="32" spans="1:12" x14ac:dyDescent="0.2">
      <c r="A32" s="1043" t="s">
        <v>379</v>
      </c>
      <c r="B32" s="958" t="s">
        <v>699</v>
      </c>
      <c r="C32" s="979" t="s">
        <v>442</v>
      </c>
      <c r="D32" s="942" t="s">
        <v>700</v>
      </c>
      <c r="E32" s="1215"/>
      <c r="F32" s="1215"/>
      <c r="G32" s="1216"/>
      <c r="H32" s="961"/>
      <c r="I32" s="1217"/>
      <c r="J32" s="1214">
        <v>1</v>
      </c>
      <c r="K32" s="1044">
        <v>3557.4821999999999</v>
      </c>
      <c r="L32" s="964">
        <f t="shared" si="0"/>
        <v>3557.4821999999999</v>
      </c>
    </row>
    <row r="33" spans="1:12" x14ac:dyDescent="0.2">
      <c r="A33" s="1043" t="s">
        <v>379</v>
      </c>
      <c r="B33" s="958" t="s">
        <v>703</v>
      </c>
      <c r="C33" s="979" t="s">
        <v>442</v>
      </c>
      <c r="D33" s="942" t="s">
        <v>704</v>
      </c>
      <c r="E33" s="1215"/>
      <c r="F33" s="942"/>
      <c r="G33" s="1216"/>
      <c r="H33" s="961"/>
      <c r="I33" s="1217"/>
      <c r="J33" s="1218">
        <v>1</v>
      </c>
      <c r="K33" s="1044">
        <v>3680.2109</v>
      </c>
      <c r="L33" s="964">
        <f t="shared" si="0"/>
        <v>3680.2109</v>
      </c>
    </row>
    <row r="34" spans="1:12" x14ac:dyDescent="0.2">
      <c r="A34" s="1045"/>
      <c r="B34" s="991"/>
      <c r="C34" s="992"/>
      <c r="D34" s="1046"/>
      <c r="E34" s="1046"/>
      <c r="F34" s="1046"/>
      <c r="G34" s="1219"/>
      <c r="H34" s="992"/>
      <c r="I34" s="1220"/>
      <c r="J34" s="1218"/>
      <c r="K34" s="1042"/>
      <c r="L34" s="964">
        <f t="shared" si="0"/>
        <v>0</v>
      </c>
    </row>
    <row r="35" spans="1:12" x14ac:dyDescent="0.2">
      <c r="A35" s="1045"/>
      <c r="B35" s="991"/>
      <c r="C35" s="992"/>
      <c r="D35" s="1046"/>
      <c r="E35" s="1046"/>
      <c r="F35" s="1046"/>
      <c r="G35" s="1219"/>
      <c r="H35" s="992"/>
      <c r="I35" s="1220"/>
      <c r="J35" s="1218"/>
      <c r="K35" s="1042"/>
      <c r="L35" s="964">
        <f t="shared" si="0"/>
        <v>0</v>
      </c>
    </row>
    <row r="36" spans="1:12" x14ac:dyDescent="0.2">
      <c r="A36" s="1221"/>
      <c r="B36" s="1222"/>
      <c r="C36" s="1223"/>
      <c r="D36" s="1223"/>
      <c r="E36" s="1223"/>
      <c r="F36" s="1223"/>
      <c r="G36" s="1224"/>
      <c r="H36" s="1225"/>
      <c r="I36" s="1226"/>
      <c r="J36" s="1227"/>
      <c r="K36" s="1042"/>
      <c r="L36" s="964">
        <f t="shared" si="0"/>
        <v>0</v>
      </c>
    </row>
    <row r="37" spans="1:12" x14ac:dyDescent="0.2">
      <c r="A37" s="1497" t="s">
        <v>490</v>
      </c>
      <c r="B37" s="1497"/>
      <c r="C37" s="1497"/>
      <c r="D37" s="1497"/>
      <c r="E37" s="1497"/>
      <c r="F37" s="1497"/>
      <c r="G37" s="1497"/>
      <c r="H37" s="1497"/>
      <c r="I37" s="1497"/>
      <c r="J37" s="1497"/>
      <c r="K37" s="1497"/>
      <c r="L37" s="1088">
        <f>ROUND(SUM(L30:L36),4)</f>
        <v>13951.491099999999</v>
      </c>
    </row>
    <row r="38" spans="1:12" x14ac:dyDescent="0.2">
      <c r="A38" s="930"/>
      <c r="B38" s="930"/>
      <c r="C38" s="930"/>
      <c r="D38" s="930"/>
      <c r="E38" s="930"/>
      <c r="F38" s="930"/>
      <c r="G38" s="930"/>
      <c r="H38" s="930"/>
      <c r="I38" s="930"/>
      <c r="J38" s="1023"/>
      <c r="K38" s="1023"/>
      <c r="L38" s="1099"/>
    </row>
    <row r="39" spans="1:12" x14ac:dyDescent="0.2">
      <c r="A39" s="930"/>
      <c r="B39" s="930"/>
      <c r="C39" s="930"/>
      <c r="D39" s="930"/>
      <c r="E39" s="930"/>
      <c r="F39" s="930"/>
      <c r="G39" s="930"/>
      <c r="H39" s="930"/>
      <c r="I39" s="930"/>
      <c r="J39" s="1023"/>
      <c r="K39" s="1100" t="s">
        <v>491</v>
      </c>
      <c r="L39" s="1101">
        <f>L26+L37</f>
        <v>13951.491099999999</v>
      </c>
    </row>
    <row r="40" spans="1:12" x14ac:dyDescent="0.2">
      <c r="A40" s="1102" t="s">
        <v>492</v>
      </c>
      <c r="B40" s="930"/>
      <c r="C40" s="930"/>
      <c r="D40" s="930"/>
      <c r="E40" s="930"/>
      <c r="F40" s="1103">
        <v>1</v>
      </c>
      <c r="G40" s="1104" t="str">
        <f>L18</f>
        <v>mês</v>
      </c>
      <c r="H40" s="1102"/>
      <c r="I40" s="930"/>
      <c r="J40" s="1105"/>
      <c r="K40" s="1106" t="s">
        <v>493</v>
      </c>
      <c r="L40" s="1035">
        <f>ROUND(L39/F40,4)</f>
        <v>13951.491099999999</v>
      </c>
    </row>
    <row r="41" spans="1:12" x14ac:dyDescent="0.2">
      <c r="A41" s="1102"/>
      <c r="B41" s="930" t="s">
        <v>494</v>
      </c>
      <c r="C41" s="930"/>
      <c r="D41" s="930"/>
      <c r="E41" s="930"/>
      <c r="F41" s="1103"/>
      <c r="G41" s="1104"/>
      <c r="H41" s="1102"/>
      <c r="I41" s="930"/>
      <c r="J41" s="1105"/>
      <c r="K41" s="1100" t="s">
        <v>495</v>
      </c>
      <c r="L41" s="1035">
        <f>ROUND(L40*F41,4)</f>
        <v>0</v>
      </c>
    </row>
    <row r="42" spans="1:12" x14ac:dyDescent="0.2">
      <c r="A42" s="1102"/>
      <c r="B42" s="930" t="s">
        <v>496</v>
      </c>
      <c r="C42" s="930"/>
      <c r="D42" s="930"/>
      <c r="E42" s="930"/>
      <c r="F42" s="1103"/>
      <c r="G42" s="1104"/>
      <c r="H42" s="1105"/>
      <c r="I42" s="1107"/>
      <c r="J42" s="1023"/>
      <c r="K42" s="1100" t="s">
        <v>497</v>
      </c>
      <c r="L42" s="1035">
        <f>ROUND(L40*F42,4)</f>
        <v>0</v>
      </c>
    </row>
    <row r="43" spans="1:12" x14ac:dyDescent="0.2">
      <c r="A43" s="930"/>
      <c r="B43" s="930"/>
      <c r="C43" s="930"/>
      <c r="D43" s="930"/>
      <c r="E43" s="930"/>
      <c r="F43" s="930"/>
      <c r="G43" s="930"/>
      <c r="H43" s="930"/>
      <c r="I43" s="930"/>
      <c r="J43" s="1023"/>
      <c r="K43" s="1023"/>
      <c r="L43" s="1099"/>
    </row>
    <row r="44" spans="1:12" x14ac:dyDescent="0.2">
      <c r="A44" s="1462" t="s">
        <v>498</v>
      </c>
      <c r="B44" s="1462"/>
      <c r="C44" s="1462"/>
      <c r="D44" s="1462"/>
      <c r="E44" s="1462"/>
      <c r="F44" s="1462"/>
      <c r="G44" s="1462"/>
      <c r="H44" s="1462"/>
      <c r="I44" s="1456" t="s">
        <v>499</v>
      </c>
      <c r="J44" s="1456"/>
      <c r="K44" s="1456"/>
      <c r="L44" s="1108">
        <f>ROUND(SUM(L40:L43),4)</f>
        <v>13951.491099999999</v>
      </c>
    </row>
    <row r="45" spans="1:12" x14ac:dyDescent="0.2">
      <c r="A45" s="910"/>
      <c r="B45" s="910"/>
      <c r="C45" s="910"/>
      <c r="D45" s="910"/>
      <c r="E45" s="910"/>
      <c r="F45" s="910"/>
      <c r="G45" s="1109"/>
      <c r="H45" s="1109"/>
      <c r="I45" s="933"/>
      <c r="J45" s="933"/>
      <c r="K45" s="933"/>
      <c r="L45" s="910"/>
    </row>
    <row r="46" spans="1:12" x14ac:dyDescent="0.2">
      <c r="A46" s="1462" t="s">
        <v>500</v>
      </c>
      <c r="B46" s="1462"/>
      <c r="C46" s="1462"/>
      <c r="D46" s="1462"/>
      <c r="E46" s="1462"/>
      <c r="F46" s="1462"/>
      <c r="G46" s="1462"/>
      <c r="H46" s="1460" t="s">
        <v>166</v>
      </c>
      <c r="I46" s="1460"/>
      <c r="J46" s="1460" t="s">
        <v>165</v>
      </c>
      <c r="K46" s="1076" t="s">
        <v>501</v>
      </c>
      <c r="L46" s="1076" t="s">
        <v>484</v>
      </c>
    </row>
    <row r="47" spans="1:12" x14ac:dyDescent="0.2">
      <c r="A47" s="1462"/>
      <c r="B47" s="1462"/>
      <c r="C47" s="1462"/>
      <c r="D47" s="1462"/>
      <c r="E47" s="1462"/>
      <c r="F47" s="1462"/>
      <c r="G47" s="1462"/>
      <c r="H47" s="1460"/>
      <c r="I47" s="1460"/>
      <c r="J47" s="1460"/>
      <c r="K47" s="1110" t="s">
        <v>451</v>
      </c>
      <c r="L47" s="1026" t="s">
        <v>451</v>
      </c>
    </row>
    <row r="48" spans="1:12" x14ac:dyDescent="0.2">
      <c r="A48" s="1078" t="s">
        <v>379</v>
      </c>
      <c r="B48" s="946" t="s">
        <v>750</v>
      </c>
      <c r="C48" s="1050" t="s">
        <v>442</v>
      </c>
      <c r="D48" s="1478" t="s">
        <v>756</v>
      </c>
      <c r="E48" s="1478"/>
      <c r="F48" s="1478"/>
      <c r="G48" s="1478"/>
      <c r="H48" s="1524"/>
      <c r="I48" s="1524"/>
      <c r="J48" s="1113" t="s">
        <v>518</v>
      </c>
      <c r="K48" s="1044">
        <v>3213.07</v>
      </c>
      <c r="L48" s="986">
        <f t="shared" ref="L48:L53" si="1">ROUND(K48*H48,4)</f>
        <v>0</v>
      </c>
    </row>
    <row r="49" spans="1:12" x14ac:dyDescent="0.2">
      <c r="A49" s="1043" t="s">
        <v>379</v>
      </c>
      <c r="B49" s="958" t="s">
        <v>750</v>
      </c>
      <c r="C49" s="979" t="s">
        <v>442</v>
      </c>
      <c r="D49" s="1479" t="s">
        <v>757</v>
      </c>
      <c r="E49" s="1479"/>
      <c r="F49" s="1479"/>
      <c r="G49" s="1479"/>
      <c r="H49" s="1524">
        <v>1</v>
      </c>
      <c r="I49" s="1524"/>
      <c r="J49" s="1113" t="s">
        <v>518</v>
      </c>
      <c r="K49" s="1044">
        <v>3399.81</v>
      </c>
      <c r="L49" s="986">
        <f t="shared" si="1"/>
        <v>3399.81</v>
      </c>
    </row>
    <row r="50" spans="1:12" x14ac:dyDescent="0.2">
      <c r="A50" s="1043" t="s">
        <v>379</v>
      </c>
      <c r="B50" s="958" t="s">
        <v>750</v>
      </c>
      <c r="C50" s="979" t="s">
        <v>442</v>
      </c>
      <c r="D50" s="1479" t="s">
        <v>751</v>
      </c>
      <c r="E50" s="1479"/>
      <c r="F50" s="1479"/>
      <c r="G50" s="1479"/>
      <c r="H50" s="1524"/>
      <c r="I50" s="1524"/>
      <c r="J50" s="1113" t="s">
        <v>518</v>
      </c>
      <c r="K50" s="1044">
        <v>4803.54</v>
      </c>
      <c r="L50" s="986">
        <f t="shared" si="1"/>
        <v>0</v>
      </c>
    </row>
    <row r="51" spans="1:12" x14ac:dyDescent="0.2">
      <c r="A51" s="1045"/>
      <c r="B51" s="991"/>
      <c r="C51" s="992"/>
      <c r="D51" s="1523"/>
      <c r="E51" s="1523"/>
      <c r="F51" s="1523"/>
      <c r="G51" s="1523"/>
      <c r="H51" s="1524"/>
      <c r="I51" s="1524"/>
      <c r="J51" s="1228"/>
      <c r="K51" s="1042"/>
      <c r="L51" s="986">
        <f t="shared" si="1"/>
        <v>0</v>
      </c>
    </row>
    <row r="52" spans="1:12" x14ac:dyDescent="0.2">
      <c r="A52" s="1045"/>
      <c r="B52" s="1229"/>
      <c r="C52" s="992"/>
      <c r="D52" s="1046"/>
      <c r="E52" s="1046"/>
      <c r="F52" s="1046"/>
      <c r="G52" s="1230"/>
      <c r="H52" s="1524"/>
      <c r="I52" s="1524"/>
      <c r="J52" s="1228"/>
      <c r="K52" s="1042"/>
      <c r="L52" s="986">
        <f t="shared" si="1"/>
        <v>0</v>
      </c>
    </row>
    <row r="53" spans="1:12" x14ac:dyDescent="0.2">
      <c r="A53" s="1231"/>
      <c r="B53" s="1232"/>
      <c r="C53" s="992"/>
      <c r="D53" s="1223"/>
      <c r="E53" s="1223"/>
      <c r="F53" s="1223"/>
      <c r="G53" s="1233"/>
      <c r="H53" s="1524"/>
      <c r="I53" s="1524"/>
      <c r="J53" s="1228"/>
      <c r="K53" s="1042"/>
      <c r="L53" s="986">
        <f t="shared" si="1"/>
        <v>0</v>
      </c>
    </row>
    <row r="54" spans="1:12" x14ac:dyDescent="0.2">
      <c r="A54" s="1454" t="s">
        <v>502</v>
      </c>
      <c r="B54" s="1454"/>
      <c r="C54" s="1454"/>
      <c r="D54" s="1454"/>
      <c r="E54" s="1454"/>
      <c r="F54" s="1454"/>
      <c r="G54" s="1454"/>
      <c r="H54" s="1454"/>
      <c r="I54" s="1454"/>
      <c r="J54" s="1454"/>
      <c r="K54" s="1454"/>
      <c r="L54" s="1108">
        <f>ROUND(SUM(L48:L53),4)</f>
        <v>3399.81</v>
      </c>
    </row>
    <row r="55" spans="1:12" x14ac:dyDescent="0.2">
      <c r="A55" s="932"/>
      <c r="B55" s="932"/>
      <c r="C55" s="932"/>
      <c r="D55" s="932"/>
      <c r="E55" s="932"/>
      <c r="F55" s="932"/>
      <c r="G55" s="932"/>
      <c r="H55" s="932"/>
      <c r="I55" s="932"/>
      <c r="J55" s="910"/>
      <c r="K55" s="1117"/>
      <c r="L55" s="1118"/>
    </row>
    <row r="56" spans="1:12" ht="13.9" customHeight="1" x14ac:dyDescent="0.2">
      <c r="A56" s="1462" t="s">
        <v>503</v>
      </c>
      <c r="B56" s="1462"/>
      <c r="C56" s="1462"/>
      <c r="D56" s="1462"/>
      <c r="E56" s="1462"/>
      <c r="F56" s="1462"/>
      <c r="G56" s="1452" t="s">
        <v>504</v>
      </c>
      <c r="H56" s="1460" t="s">
        <v>505</v>
      </c>
      <c r="I56" s="1460"/>
      <c r="J56" s="1460"/>
      <c r="K56" s="1460"/>
      <c r="L56" s="1460" t="s">
        <v>506</v>
      </c>
    </row>
    <row r="57" spans="1:12" x14ac:dyDescent="0.2">
      <c r="A57" s="1462"/>
      <c r="B57" s="1462"/>
      <c r="C57" s="1462"/>
      <c r="D57" s="1462"/>
      <c r="E57" s="1462"/>
      <c r="F57" s="1462"/>
      <c r="G57" s="1452"/>
      <c r="H57" s="944" t="s">
        <v>112</v>
      </c>
      <c r="I57" s="1095" t="s">
        <v>380</v>
      </c>
      <c r="J57" s="1026" t="s">
        <v>383</v>
      </c>
      <c r="K57" s="1110" t="s">
        <v>385</v>
      </c>
      <c r="L57" s="1460"/>
    </row>
    <row r="58" spans="1:12" x14ac:dyDescent="0.2">
      <c r="A58" s="1462"/>
      <c r="B58" s="1462"/>
      <c r="C58" s="1462"/>
      <c r="D58" s="1462"/>
      <c r="E58" s="1462"/>
      <c r="F58" s="1462"/>
      <c r="G58" s="1452"/>
      <c r="H58" s="943" t="s">
        <v>507</v>
      </c>
      <c r="I58" s="1119"/>
      <c r="J58" s="1119"/>
      <c r="K58" s="1119"/>
      <c r="L58" s="1460"/>
    </row>
    <row r="59" spans="1:12" x14ac:dyDescent="0.2">
      <c r="A59" s="1488"/>
      <c r="B59" s="1489"/>
      <c r="C59" s="1490"/>
      <c r="D59" s="1502"/>
      <c r="E59" s="1502"/>
      <c r="F59" s="1503"/>
      <c r="G59" s="1522"/>
      <c r="H59" s="1120" t="s">
        <v>508</v>
      </c>
      <c r="I59" s="1121"/>
      <c r="J59" s="1121"/>
      <c r="K59" s="1121"/>
      <c r="L59" s="1494">
        <f>ROUND(G59*($I$58*I60+$J$58*J60+$K$58*K60),4)</f>
        <v>0</v>
      </c>
    </row>
    <row r="60" spans="1:12" x14ac:dyDescent="0.2">
      <c r="A60" s="1488"/>
      <c r="B60" s="1489"/>
      <c r="C60" s="1490"/>
      <c r="D60" s="1502"/>
      <c r="E60" s="1502"/>
      <c r="F60" s="1503"/>
      <c r="G60" s="1522"/>
      <c r="H60" s="1122" t="s">
        <v>509</v>
      </c>
      <c r="I60" s="1123"/>
      <c r="J60" s="1123"/>
      <c r="K60" s="1123"/>
      <c r="L60" s="1494"/>
    </row>
    <row r="61" spans="1:12" x14ac:dyDescent="0.2">
      <c r="A61" s="1043"/>
      <c r="B61" s="958"/>
      <c r="C61" s="979"/>
      <c r="D61" s="1151"/>
      <c r="E61" s="1151"/>
      <c r="F61" s="1141"/>
      <c r="G61" s="1234"/>
      <c r="H61" s="1235"/>
      <c r="I61" s="1236"/>
      <c r="J61" s="1235"/>
      <c r="K61" s="1236"/>
      <c r="L61" s="986"/>
    </row>
    <row r="62" spans="1:12" x14ac:dyDescent="0.2">
      <c r="A62" s="1114"/>
      <c r="B62" s="979"/>
      <c r="C62" s="979"/>
      <c r="D62" s="1083"/>
      <c r="E62" s="1083"/>
      <c r="F62" s="1083"/>
      <c r="G62" s="1237"/>
      <c r="H62" s="1136"/>
      <c r="I62" s="1136"/>
      <c r="J62" s="1136"/>
      <c r="K62" s="1136"/>
      <c r="L62" s="1138">
        <f>G62*H62*K62</f>
        <v>0</v>
      </c>
    </row>
    <row r="63" spans="1:12" x14ac:dyDescent="0.2">
      <c r="A63" s="1454" t="s">
        <v>510</v>
      </c>
      <c r="B63" s="1454"/>
      <c r="C63" s="1454"/>
      <c r="D63" s="1454"/>
      <c r="E63" s="1454"/>
      <c r="F63" s="1454"/>
      <c r="G63" s="1454"/>
      <c r="H63" s="1454"/>
      <c r="I63" s="1454"/>
      <c r="J63" s="1454"/>
      <c r="K63" s="1454"/>
      <c r="L63" s="1025">
        <f>ROUND(SUM(L59:L62),4)</f>
        <v>0</v>
      </c>
    </row>
    <row r="64" spans="1:12" x14ac:dyDescent="0.2">
      <c r="A64" s="1049"/>
      <c r="B64" s="1049"/>
      <c r="C64" s="1049"/>
      <c r="D64" s="1049"/>
      <c r="E64" s="1049"/>
      <c r="F64" s="1049"/>
      <c r="G64" s="932"/>
      <c r="H64" s="1050"/>
      <c r="I64" s="1050"/>
      <c r="J64" s="1051"/>
      <c r="K64" s="1052"/>
      <c r="L64" s="1125"/>
    </row>
    <row r="65" spans="1:12" x14ac:dyDescent="0.2">
      <c r="A65" s="1454" t="s">
        <v>511</v>
      </c>
      <c r="B65" s="1454"/>
      <c r="C65" s="1454"/>
      <c r="D65" s="1454"/>
      <c r="E65" s="1454"/>
      <c r="F65" s="1454"/>
      <c r="G65" s="1454"/>
      <c r="H65" s="1454"/>
      <c r="I65" s="1454"/>
      <c r="J65" s="1454"/>
      <c r="K65" s="1454"/>
      <c r="L65" s="1025">
        <f>ROUND(L44+L54+L63,4)</f>
        <v>17351.301100000001</v>
      </c>
    </row>
    <row r="66" spans="1:12" x14ac:dyDescent="0.2">
      <c r="A66" s="1455" t="s">
        <v>461</v>
      </c>
      <c r="B66" s="1455"/>
      <c r="C66" s="1455"/>
      <c r="D66" s="1455"/>
      <c r="E66" s="1455"/>
      <c r="F66" s="1455"/>
      <c r="G66" s="1455"/>
      <c r="H66" s="1455"/>
      <c r="I66" s="1455"/>
      <c r="J66" s="1455"/>
      <c r="K66" s="1055">
        <v>0.25569999999999998</v>
      </c>
      <c r="L66" s="1056">
        <f>ROUND(L65*K66,4)</f>
        <v>4436.7277000000004</v>
      </c>
    </row>
    <row r="67" spans="1:12" x14ac:dyDescent="0.2">
      <c r="A67" s="1456" t="s">
        <v>512</v>
      </c>
      <c r="B67" s="1456"/>
      <c r="C67" s="1456"/>
      <c r="D67" s="1456"/>
      <c r="E67" s="1456"/>
      <c r="F67" s="1456"/>
      <c r="G67" s="1456"/>
      <c r="H67" s="1456"/>
      <c r="I67" s="1456"/>
      <c r="J67" s="1456"/>
      <c r="K67" s="1456"/>
      <c r="L67" s="1238">
        <f>ROUND(L65+L66,2)</f>
        <v>21788.03</v>
      </c>
    </row>
    <row r="68" spans="1:12" x14ac:dyDescent="0.2">
      <c r="A68" s="1456" t="s">
        <v>571</v>
      </c>
      <c r="B68" s="1456"/>
      <c r="C68" s="1456"/>
      <c r="D68" s="1456"/>
      <c r="E68" s="1456"/>
      <c r="F68" s="1456"/>
      <c r="G68" s="1456"/>
      <c r="H68" s="1456"/>
      <c r="I68" s="1456"/>
      <c r="J68" s="1456"/>
      <c r="K68" s="1456"/>
      <c r="L68" s="1126">
        <f>ROUND(L67*G41,2)</f>
        <v>0</v>
      </c>
    </row>
    <row r="69" spans="1:12" x14ac:dyDescent="0.2">
      <c r="A69" s="930"/>
      <c r="B69" s="930"/>
      <c r="C69" s="930"/>
      <c r="D69" s="930"/>
      <c r="E69" s="930"/>
      <c r="F69" s="930"/>
      <c r="G69" s="930"/>
      <c r="H69" s="930"/>
      <c r="I69" s="930"/>
      <c r="J69" s="930"/>
      <c r="K69" s="930"/>
      <c r="L69" s="930"/>
    </row>
    <row r="70" spans="1:12" ht="30" customHeight="1" x14ac:dyDescent="0.2">
      <c r="A70" s="1059" t="s">
        <v>463</v>
      </c>
      <c r="B70" s="1060"/>
      <c r="C70" s="1128" t="s">
        <v>467</v>
      </c>
      <c r="D70" s="1520" t="s">
        <v>548</v>
      </c>
      <c r="E70" s="1520"/>
      <c r="F70" s="1520"/>
      <c r="G70" s="1520"/>
      <c r="H70" s="1520"/>
      <c r="I70" s="1520"/>
      <c r="J70" s="1520"/>
      <c r="K70" s="1520"/>
      <c r="L70" s="1520"/>
    </row>
    <row r="71" spans="1:12" x14ac:dyDescent="0.2">
      <c r="A71" s="1210"/>
      <c r="B71" s="1184"/>
      <c r="C71" s="1109" t="s">
        <v>469</v>
      </c>
      <c r="D71" s="910" t="s">
        <v>549</v>
      </c>
      <c r="E71" s="1239"/>
      <c r="F71" s="1239"/>
      <c r="G71" s="1239"/>
      <c r="H71" s="1239"/>
      <c r="I71" s="1239"/>
      <c r="J71" s="1239"/>
      <c r="K71" s="1239"/>
      <c r="L71" s="1240"/>
    </row>
    <row r="72" spans="1:12" x14ac:dyDescent="0.2">
      <c r="A72" s="1210"/>
      <c r="B72" s="1184"/>
      <c r="C72" s="1109" t="s">
        <v>311</v>
      </c>
      <c r="D72" s="910" t="s">
        <v>550</v>
      </c>
      <c r="E72" s="1239"/>
      <c r="F72" s="1239"/>
      <c r="G72" s="1239"/>
      <c r="H72" s="1239"/>
      <c r="I72" s="1239"/>
      <c r="J72" s="1239"/>
      <c r="K72" s="1239"/>
      <c r="L72" s="1240"/>
    </row>
    <row r="73" spans="1:12" x14ac:dyDescent="0.2">
      <c r="A73" s="1071"/>
      <c r="B73" s="1129"/>
      <c r="C73" s="1241"/>
      <c r="D73" s="1241"/>
      <c r="E73" s="1241"/>
      <c r="F73" s="1241"/>
      <c r="G73" s="1241"/>
      <c r="H73" s="1241"/>
      <c r="I73" s="1241"/>
      <c r="J73" s="1241"/>
      <c r="K73" s="1241"/>
      <c r="L73" s="1242"/>
    </row>
  </sheetData>
  <mergeCells count="54">
    <mergeCell ref="A1:L1"/>
    <mergeCell ref="A2:L2"/>
    <mergeCell ref="A3:L3"/>
    <mergeCell ref="A4:L4"/>
    <mergeCell ref="A5:K5"/>
    <mergeCell ref="A6:K6"/>
    <mergeCell ref="A7:K7"/>
    <mergeCell ref="L7:L8"/>
    <mergeCell ref="A10:L10"/>
    <mergeCell ref="A12:D12"/>
    <mergeCell ref="A15:L16"/>
    <mergeCell ref="E18:J18"/>
    <mergeCell ref="A20:F21"/>
    <mergeCell ref="G20:G21"/>
    <mergeCell ref="H20:I20"/>
    <mergeCell ref="J20:K20"/>
    <mergeCell ref="A26:K26"/>
    <mergeCell ref="A28:I29"/>
    <mergeCell ref="J28:J29"/>
    <mergeCell ref="K28:K29"/>
    <mergeCell ref="A37:K37"/>
    <mergeCell ref="A44:H44"/>
    <mergeCell ref="I44:K44"/>
    <mergeCell ref="A46:G47"/>
    <mergeCell ref="H46:I47"/>
    <mergeCell ref="J46:J47"/>
    <mergeCell ref="D48:G48"/>
    <mergeCell ref="H48:I48"/>
    <mergeCell ref="D49:G49"/>
    <mergeCell ref="H49:I49"/>
    <mergeCell ref="D50:G50"/>
    <mergeCell ref="H50:I50"/>
    <mergeCell ref="D51:G51"/>
    <mergeCell ref="H51:I51"/>
    <mergeCell ref="H52:I52"/>
    <mergeCell ref="H53:I53"/>
    <mergeCell ref="A54:K54"/>
    <mergeCell ref="A56:F58"/>
    <mergeCell ref="G56:G58"/>
    <mergeCell ref="H56:K56"/>
    <mergeCell ref="L56:L58"/>
    <mergeCell ref="A59:A60"/>
    <mergeCell ref="B59:B60"/>
    <mergeCell ref="C59:C60"/>
    <mergeCell ref="D59:E60"/>
    <mergeCell ref="F59:F60"/>
    <mergeCell ref="G59:G60"/>
    <mergeCell ref="L59:L60"/>
    <mergeCell ref="D70:L70"/>
    <mergeCell ref="A63:K63"/>
    <mergeCell ref="A65:K65"/>
    <mergeCell ref="A66:J66"/>
    <mergeCell ref="A67:K67"/>
    <mergeCell ref="A68:K68"/>
  </mergeCells>
  <dataValidations count="1">
    <dataValidation allowBlank="1" showInputMessage="1" showErrorMessage="1" prompt="Clique duas vezes sobre o número do item para ser direcionado à Planilha Orçamentária." sqref="D18" xr:uid="{00000000-0002-0000-0C00-000000000000}">
      <formula1>0</formula1>
      <formula2>0</formula2>
    </dataValidation>
  </dataValidations>
  <printOptions horizontalCentered="1" verticalCentered="1"/>
  <pageMargins left="0.51180555555555496" right="0.51180555555555496" top="0.78749999999999998" bottom="0.78749999999999998" header="0.51180555555555496" footer="0.51180555555555496"/>
  <pageSetup paperSize="9" scale="70" firstPageNumber="0"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71"/>
  <sheetViews>
    <sheetView topLeftCell="A49" zoomScale="83" zoomScaleNormal="83" workbookViewId="0">
      <selection activeCell="P139" sqref="P139"/>
    </sheetView>
  </sheetViews>
  <sheetFormatPr defaultRowHeight="15" x14ac:dyDescent="0.2"/>
  <cols>
    <col min="1" max="2" width="7.6640625" style="902" customWidth="1"/>
    <col min="3" max="3" width="1.74609375" style="902" customWidth="1"/>
    <col min="4" max="4" width="3.765625" style="902" customWidth="1"/>
    <col min="5" max="5" width="23.67578125" style="902" customWidth="1"/>
    <col min="6" max="6" width="12.64453125" style="902" customWidth="1"/>
    <col min="7" max="7" width="8.7421875" style="902" customWidth="1"/>
    <col min="8" max="8" width="9.4140625" style="902" customWidth="1"/>
    <col min="9" max="11" width="8.7421875" style="902" customWidth="1"/>
    <col min="12" max="12" width="10.76171875" style="902" customWidth="1"/>
    <col min="13" max="1025" width="8.7421875" customWidth="1"/>
  </cols>
  <sheetData>
    <row r="1" spans="1:12" x14ac:dyDescent="0.2">
      <c r="A1" s="1474"/>
      <c r="B1" s="1474"/>
      <c r="C1" s="1474"/>
      <c r="D1" s="1474"/>
      <c r="E1" s="1474"/>
      <c r="F1" s="1474"/>
      <c r="G1" s="1474"/>
      <c r="H1" s="1474"/>
      <c r="I1" s="1474"/>
      <c r="J1" s="1474"/>
      <c r="K1" s="1474"/>
      <c r="L1" s="1474"/>
    </row>
    <row r="2" spans="1:12" x14ac:dyDescent="0.2">
      <c r="A2" s="1475" t="s">
        <v>629</v>
      </c>
      <c r="B2" s="1475"/>
      <c r="C2" s="1475"/>
      <c r="D2" s="1475"/>
      <c r="E2" s="1475"/>
      <c r="F2" s="1475"/>
      <c r="G2" s="1475"/>
      <c r="H2" s="1475"/>
      <c r="I2" s="1475"/>
      <c r="J2" s="1475"/>
      <c r="K2" s="1475"/>
      <c r="L2" s="1475"/>
    </row>
    <row r="3" spans="1:12" x14ac:dyDescent="0.2">
      <c r="A3" s="1474"/>
      <c r="B3" s="1474"/>
      <c r="C3" s="1474"/>
      <c r="D3" s="1474"/>
      <c r="E3" s="1474"/>
      <c r="F3" s="1474"/>
      <c r="G3" s="1474"/>
      <c r="H3" s="1474"/>
      <c r="I3" s="1474"/>
      <c r="J3" s="1474"/>
      <c r="K3" s="1474"/>
      <c r="L3" s="1474"/>
    </row>
    <row r="4" spans="1:12" x14ac:dyDescent="0.2">
      <c r="A4" s="1476"/>
      <c r="B4" s="1476"/>
      <c r="C4" s="1476"/>
      <c r="D4" s="1476"/>
      <c r="E4" s="1476"/>
      <c r="F4" s="1476"/>
      <c r="G4" s="1476"/>
      <c r="H4" s="1476"/>
      <c r="I4" s="1476"/>
      <c r="J4" s="1476"/>
      <c r="K4" s="1476"/>
      <c r="L4" s="1476"/>
    </row>
    <row r="5" spans="1:12" x14ac:dyDescent="0.2">
      <c r="A5" s="1477"/>
      <c r="B5" s="1477"/>
      <c r="C5" s="1477"/>
      <c r="D5" s="1477"/>
      <c r="E5" s="1477"/>
      <c r="F5" s="1477"/>
      <c r="G5" s="1477"/>
      <c r="H5" s="1477"/>
      <c r="I5" s="1477"/>
      <c r="J5" s="1477"/>
      <c r="K5" s="1477"/>
      <c r="L5" s="903" t="s">
        <v>419</v>
      </c>
    </row>
    <row r="6" spans="1:12" x14ac:dyDescent="0.2">
      <c r="A6" s="1469"/>
      <c r="B6" s="1469"/>
      <c r="C6" s="1469"/>
      <c r="D6" s="1469"/>
      <c r="E6" s="1469"/>
      <c r="F6" s="1469"/>
      <c r="G6" s="1469"/>
      <c r="H6" s="1469"/>
      <c r="I6" s="1469"/>
      <c r="J6" s="1469"/>
      <c r="K6" s="1469"/>
      <c r="L6" s="1075"/>
    </row>
    <row r="7" spans="1:12" ht="13.9" customHeight="1" x14ac:dyDescent="0.2">
      <c r="A7" s="1469"/>
      <c r="B7" s="1469"/>
      <c r="C7" s="1469"/>
      <c r="D7" s="1469"/>
      <c r="E7" s="1469"/>
      <c r="F7" s="1469"/>
      <c r="G7" s="1469"/>
      <c r="H7" s="1469"/>
      <c r="I7" s="1469"/>
      <c r="J7" s="1469"/>
      <c r="K7" s="1469"/>
      <c r="L7" s="1470" t="s">
        <v>572</v>
      </c>
    </row>
    <row r="8" spans="1:12" x14ac:dyDescent="0.2">
      <c r="A8" s="904"/>
      <c r="B8" s="905"/>
      <c r="C8" s="906"/>
      <c r="D8" s="907"/>
      <c r="E8" s="908"/>
      <c r="F8" s="906"/>
      <c r="G8" s="906"/>
      <c r="H8" s="906"/>
      <c r="I8" s="906"/>
      <c r="J8" s="906"/>
      <c r="K8" s="909"/>
      <c r="L8" s="1470"/>
    </row>
    <row r="9" spans="1:12" x14ac:dyDescent="0.2">
      <c r="A9" s="910"/>
      <c r="B9" s="910"/>
      <c r="C9" s="911"/>
      <c r="D9" s="912"/>
      <c r="E9" s="912"/>
      <c r="F9" s="913"/>
      <c r="G9" s="913"/>
      <c r="H9" s="913"/>
      <c r="I9" s="913"/>
      <c r="J9" s="913"/>
      <c r="K9" s="913"/>
      <c r="L9" s="914"/>
    </row>
    <row r="10" spans="1:12" x14ac:dyDescent="0.2">
      <c r="A10" s="1471"/>
      <c r="B10" s="1471"/>
      <c r="C10" s="1471"/>
      <c r="D10" s="1471"/>
      <c r="E10" s="1471"/>
      <c r="F10" s="1471"/>
      <c r="G10" s="1471"/>
      <c r="H10" s="1471"/>
      <c r="I10" s="1471"/>
      <c r="J10" s="1471"/>
      <c r="K10" s="1471"/>
      <c r="L10" s="1471"/>
    </row>
    <row r="11" spans="1:12" x14ac:dyDescent="0.2">
      <c r="A11" s="915"/>
      <c r="B11" s="912"/>
      <c r="C11" s="911"/>
      <c r="D11" s="912"/>
      <c r="E11" s="911"/>
      <c r="F11" s="911"/>
      <c r="G11" s="911"/>
      <c r="H11" s="911"/>
      <c r="I11" s="911"/>
      <c r="J11" s="911"/>
      <c r="K11" s="911"/>
      <c r="L11" s="916"/>
    </row>
    <row r="12" spans="1:12" x14ac:dyDescent="0.2">
      <c r="A12" s="1472" t="s">
        <v>421</v>
      </c>
      <c r="B12" s="1472"/>
      <c r="C12" s="1472"/>
      <c r="D12" s="1472"/>
      <c r="E12" s="917" t="s">
        <v>648</v>
      </c>
      <c r="F12" s="918"/>
      <c r="G12" s="918"/>
      <c r="H12" s="918"/>
      <c r="I12" s="918"/>
      <c r="J12" s="918"/>
      <c r="K12" s="918"/>
      <c r="L12" s="919"/>
    </row>
    <row r="13" spans="1:12" x14ac:dyDescent="0.2">
      <c r="A13" s="920"/>
      <c r="B13" s="907"/>
      <c r="C13" s="921"/>
      <c r="D13" s="907"/>
      <c r="E13" s="907"/>
      <c r="F13" s="906"/>
      <c r="G13" s="906"/>
      <c r="H13" s="906"/>
      <c r="I13" s="906"/>
      <c r="J13" s="906"/>
      <c r="K13" s="906"/>
      <c r="L13" s="922"/>
    </row>
    <row r="14" spans="1:12" x14ac:dyDescent="0.2">
      <c r="A14" s="913"/>
      <c r="B14" s="913"/>
      <c r="C14" s="913"/>
      <c r="D14" s="913"/>
      <c r="E14" s="913"/>
      <c r="F14" s="913"/>
      <c r="G14" s="913"/>
      <c r="H14" s="913"/>
      <c r="I14" s="913"/>
      <c r="J14" s="913"/>
      <c r="K14" s="913"/>
      <c r="L14" s="914"/>
    </row>
    <row r="15" spans="1:12" x14ac:dyDescent="0.2">
      <c r="A15" s="1473" t="s">
        <v>422</v>
      </c>
      <c r="B15" s="1473"/>
      <c r="C15" s="1473"/>
      <c r="D15" s="1473"/>
      <c r="E15" s="1473"/>
      <c r="F15" s="1473"/>
      <c r="G15" s="1473"/>
      <c r="H15" s="1473"/>
      <c r="I15" s="1473"/>
      <c r="J15" s="1473"/>
      <c r="K15" s="1473"/>
      <c r="L15" s="1473"/>
    </row>
    <row r="16" spans="1:12" x14ac:dyDescent="0.2">
      <c r="A16" s="1473"/>
      <c r="B16" s="1473"/>
      <c r="C16" s="1473"/>
      <c r="D16" s="1473"/>
      <c r="E16" s="1473"/>
      <c r="F16" s="1473"/>
      <c r="G16" s="1473"/>
      <c r="H16" s="1473"/>
      <c r="I16" s="1473"/>
      <c r="J16" s="1473"/>
      <c r="K16" s="1473"/>
      <c r="L16" s="1473"/>
    </row>
    <row r="17" spans="1:12" x14ac:dyDescent="0.2">
      <c r="A17" s="923"/>
      <c r="B17" s="923"/>
      <c r="C17" s="923"/>
      <c r="D17" s="923"/>
      <c r="E17" s="923"/>
      <c r="F17" s="923"/>
      <c r="G17" s="923"/>
      <c r="H17" s="923"/>
      <c r="I17" s="923"/>
      <c r="J17" s="923"/>
      <c r="K17" s="923"/>
      <c r="L17" s="923"/>
    </row>
    <row r="18" spans="1:12" ht="28.5" customHeight="1" x14ac:dyDescent="0.2">
      <c r="A18" s="924" t="s">
        <v>423</v>
      </c>
      <c r="B18" s="925"/>
      <c r="C18" s="925"/>
      <c r="D18" s="926" t="s">
        <v>572</v>
      </c>
      <c r="E18" s="1515" t="s">
        <v>573</v>
      </c>
      <c r="F18" s="1515"/>
      <c r="G18" s="1515"/>
      <c r="H18" s="1515"/>
      <c r="I18" s="1515"/>
      <c r="J18" s="1515"/>
      <c r="K18" s="928" t="s">
        <v>425</v>
      </c>
      <c r="L18" s="929" t="s">
        <v>482</v>
      </c>
    </row>
    <row r="19" spans="1:12" x14ac:dyDescent="0.2">
      <c r="A19" s="910"/>
      <c r="B19" s="910"/>
      <c r="C19" s="910"/>
      <c r="D19" s="910"/>
      <c r="E19" s="910"/>
      <c r="F19" s="910"/>
      <c r="G19" s="910"/>
      <c r="H19" s="910"/>
      <c r="I19" s="910"/>
      <c r="J19" s="910"/>
      <c r="K19" s="910"/>
      <c r="L19" s="910"/>
    </row>
    <row r="20" spans="1:12" x14ac:dyDescent="0.2">
      <c r="A20" s="1462" t="s">
        <v>434</v>
      </c>
      <c r="B20" s="1462"/>
      <c r="C20" s="1462"/>
      <c r="D20" s="1462"/>
      <c r="E20" s="1462"/>
      <c r="F20" s="1462"/>
      <c r="G20" s="1460" t="s">
        <v>166</v>
      </c>
      <c r="H20" s="1460" t="s">
        <v>362</v>
      </c>
      <c r="I20" s="1460"/>
      <c r="J20" s="1500" t="s">
        <v>483</v>
      </c>
      <c r="K20" s="1500"/>
      <c r="L20" s="1076" t="s">
        <v>484</v>
      </c>
    </row>
    <row r="21" spans="1:12" x14ac:dyDescent="0.2">
      <c r="A21" s="1462"/>
      <c r="B21" s="1462"/>
      <c r="C21" s="1462"/>
      <c r="D21" s="1462"/>
      <c r="E21" s="1462"/>
      <c r="F21" s="1462"/>
      <c r="G21" s="1460"/>
      <c r="H21" s="943" t="s">
        <v>485</v>
      </c>
      <c r="I21" s="1077" t="s">
        <v>486</v>
      </c>
      <c r="J21" s="943" t="s">
        <v>485</v>
      </c>
      <c r="K21" s="1077" t="s">
        <v>486</v>
      </c>
      <c r="L21" s="1026" t="s">
        <v>487</v>
      </c>
    </row>
    <row r="22" spans="1:12" x14ac:dyDescent="0.2">
      <c r="A22" s="1043" t="s">
        <v>379</v>
      </c>
      <c r="B22" s="1130" t="s">
        <v>665</v>
      </c>
      <c r="C22" s="979" t="s">
        <v>442</v>
      </c>
      <c r="D22" s="1520" t="s">
        <v>666</v>
      </c>
      <c r="E22" s="1520"/>
      <c r="F22" s="1520"/>
      <c r="G22" s="1112">
        <v>5.5999999999999995E-4</v>
      </c>
      <c r="H22" s="1116">
        <v>1</v>
      </c>
      <c r="I22" s="961">
        <v>0</v>
      </c>
      <c r="J22" s="986">
        <v>199.35740000000001</v>
      </c>
      <c r="K22" s="986">
        <v>80.469300000000004</v>
      </c>
      <c r="L22" s="986">
        <f>(G22*H22*J22)+(G22*I22*K22)</f>
        <v>0.111640144</v>
      </c>
    </row>
    <row r="23" spans="1:12" x14ac:dyDescent="0.2">
      <c r="A23" s="1153"/>
      <c r="B23" s="942"/>
      <c r="C23" s="979"/>
      <c r="D23" s="942"/>
      <c r="E23" s="942"/>
      <c r="F23" s="942"/>
      <c r="G23" s="1112"/>
      <c r="H23" s="1116"/>
      <c r="I23" s="961"/>
      <c r="J23" s="1081"/>
      <c r="K23" s="1087"/>
      <c r="L23" s="986">
        <f>(G23*H23*J23)+(G23*I23*K23)</f>
        <v>0</v>
      </c>
    </row>
    <row r="24" spans="1:12" x14ac:dyDescent="0.2">
      <c r="A24" s="1153"/>
      <c r="B24" s="942"/>
      <c r="C24" s="979"/>
      <c r="D24" s="942"/>
      <c r="E24" s="942"/>
      <c r="F24" s="942"/>
      <c r="G24" s="1112"/>
      <c r="H24" s="1116"/>
      <c r="I24" s="961"/>
      <c r="J24" s="1081"/>
      <c r="K24" s="1087"/>
      <c r="L24" s="986">
        <f>(G24*H24*J24)+(G24*I24*K24)</f>
        <v>0</v>
      </c>
    </row>
    <row r="25" spans="1:12" x14ac:dyDescent="0.2">
      <c r="A25" s="1153"/>
      <c r="B25" s="942"/>
      <c r="C25" s="979"/>
      <c r="D25" s="942"/>
      <c r="E25" s="942"/>
      <c r="F25" s="942"/>
      <c r="G25" s="1112"/>
      <c r="H25" s="1116"/>
      <c r="I25" s="961"/>
      <c r="J25" s="1081"/>
      <c r="K25" s="1087"/>
      <c r="L25" s="986">
        <f>(G25*H25*J25)+(G25*I25*K25)</f>
        <v>0</v>
      </c>
    </row>
    <row r="26" spans="1:12" x14ac:dyDescent="0.2">
      <c r="A26" s="1153"/>
      <c r="B26" s="942"/>
      <c r="C26" s="979"/>
      <c r="D26" s="942"/>
      <c r="E26" s="942"/>
      <c r="F26" s="942"/>
      <c r="G26" s="1112"/>
      <c r="H26" s="1116"/>
      <c r="I26" s="961"/>
      <c r="J26" s="1081"/>
      <c r="K26" s="1087"/>
      <c r="L26" s="986"/>
    </row>
    <row r="27" spans="1:12" x14ac:dyDescent="0.2">
      <c r="A27" s="1153"/>
      <c r="B27" s="942"/>
      <c r="C27" s="979"/>
      <c r="D27" s="942"/>
      <c r="E27" s="942"/>
      <c r="F27" s="942"/>
      <c r="G27" s="1112"/>
      <c r="H27" s="1116"/>
      <c r="I27" s="961"/>
      <c r="J27" s="1081"/>
      <c r="K27" s="1087"/>
      <c r="L27" s="986"/>
    </row>
    <row r="28" spans="1:12" x14ac:dyDescent="0.2">
      <c r="A28" s="1153"/>
      <c r="B28" s="942"/>
      <c r="C28" s="979"/>
      <c r="D28" s="942"/>
      <c r="E28" s="942"/>
      <c r="F28" s="942"/>
      <c r="G28" s="1096"/>
      <c r="H28" s="1116"/>
      <c r="I28" s="961"/>
      <c r="J28" s="1086"/>
      <c r="K28" s="1087"/>
      <c r="L28" s="986"/>
    </row>
    <row r="29" spans="1:12" x14ac:dyDescent="0.2">
      <c r="A29" s="1497" t="s">
        <v>488</v>
      </c>
      <c r="B29" s="1497"/>
      <c r="C29" s="1497"/>
      <c r="D29" s="1497"/>
      <c r="E29" s="1497"/>
      <c r="F29" s="1497"/>
      <c r="G29" s="1497"/>
      <c r="H29" s="1497"/>
      <c r="I29" s="1497"/>
      <c r="J29" s="1497"/>
      <c r="K29" s="1497"/>
      <c r="L29" s="1035">
        <f>ROUND(SUM(L22:L28),4)</f>
        <v>0.1116</v>
      </c>
    </row>
    <row r="30" spans="1:12" x14ac:dyDescent="0.2">
      <c r="A30" s="930"/>
      <c r="B30" s="930"/>
      <c r="C30" s="930"/>
      <c r="D30" s="930"/>
      <c r="E30" s="930"/>
      <c r="F30" s="930"/>
      <c r="G30" s="930"/>
      <c r="H30" s="1023"/>
      <c r="I30" s="1023"/>
      <c r="J30" s="1023"/>
      <c r="K30" s="1023"/>
      <c r="L30" s="1023"/>
    </row>
    <row r="31" spans="1:12" ht="13.9" customHeight="1" x14ac:dyDescent="0.2">
      <c r="A31" s="1462" t="s">
        <v>447</v>
      </c>
      <c r="B31" s="1462"/>
      <c r="C31" s="1462"/>
      <c r="D31" s="1462"/>
      <c r="E31" s="1462"/>
      <c r="F31" s="1462"/>
      <c r="G31" s="1462"/>
      <c r="H31" s="1462"/>
      <c r="I31" s="1462"/>
      <c r="J31" s="1460" t="s">
        <v>166</v>
      </c>
      <c r="K31" s="1452" t="s">
        <v>489</v>
      </c>
      <c r="L31" s="1076" t="s">
        <v>449</v>
      </c>
    </row>
    <row r="32" spans="1:12" x14ac:dyDescent="0.2">
      <c r="A32" s="1462"/>
      <c r="B32" s="1462"/>
      <c r="C32" s="1462"/>
      <c r="D32" s="1462"/>
      <c r="E32" s="1462"/>
      <c r="F32" s="1462"/>
      <c r="G32" s="1462"/>
      <c r="H32" s="1462"/>
      <c r="I32" s="1462"/>
      <c r="J32" s="1460"/>
      <c r="K32" s="1452"/>
      <c r="L32" s="1026" t="s">
        <v>487</v>
      </c>
    </row>
    <row r="33" spans="1:12" x14ac:dyDescent="0.2">
      <c r="A33" s="1043" t="s">
        <v>379</v>
      </c>
      <c r="B33" s="1130" t="s">
        <v>697</v>
      </c>
      <c r="C33" s="979" t="s">
        <v>442</v>
      </c>
      <c r="D33" s="1525" t="s">
        <v>698</v>
      </c>
      <c r="E33" s="1525"/>
      <c r="F33" s="1525"/>
      <c r="G33" s="1525"/>
      <c r="H33" s="1525"/>
      <c r="I33" s="1525"/>
      <c r="J33" s="1080">
        <v>3.0000000000000001E-3</v>
      </c>
      <c r="K33" s="1020">
        <v>16.13</v>
      </c>
      <c r="L33" s="1243">
        <f>J33*K33</f>
        <v>4.8389999999999996E-2</v>
      </c>
    </row>
    <row r="34" spans="1:12" x14ac:dyDescent="0.2">
      <c r="A34" s="1043"/>
      <c r="B34" s="1130"/>
      <c r="C34" s="979"/>
      <c r="D34" s="942"/>
      <c r="E34" s="942"/>
      <c r="F34" s="942"/>
      <c r="G34" s="942"/>
      <c r="H34" s="942"/>
      <c r="I34" s="1144"/>
      <c r="J34" s="1080"/>
      <c r="K34" s="1020"/>
      <c r="L34" s="1243"/>
    </row>
    <row r="35" spans="1:12" x14ac:dyDescent="0.2">
      <c r="A35" s="1153"/>
      <c r="B35" s="942"/>
      <c r="C35" s="979"/>
      <c r="D35" s="942"/>
      <c r="E35" s="942"/>
      <c r="F35" s="942"/>
      <c r="G35" s="910"/>
      <c r="H35" s="979"/>
      <c r="I35" s="1092"/>
      <c r="J35" s="1080"/>
      <c r="K35" s="1020"/>
      <c r="L35" s="1243">
        <f>J35*K35</f>
        <v>0</v>
      </c>
    </row>
    <row r="36" spans="1:12" x14ac:dyDescent="0.2">
      <c r="A36" s="1082"/>
      <c r="B36" s="1083"/>
      <c r="C36" s="1083"/>
      <c r="D36" s="1083"/>
      <c r="E36" s="1083"/>
      <c r="F36" s="1083"/>
      <c r="G36" s="905"/>
      <c r="H36" s="1077"/>
      <c r="I36" s="1095"/>
      <c r="J36" s="1085"/>
      <c r="K36" s="1020"/>
      <c r="L36" s="1243">
        <f>J36*K36</f>
        <v>0</v>
      </c>
    </row>
    <row r="37" spans="1:12" x14ac:dyDescent="0.2">
      <c r="A37" s="1102"/>
      <c r="B37" s="930"/>
      <c r="C37" s="930"/>
      <c r="D37" s="930"/>
      <c r="E37" s="930"/>
      <c r="F37" s="930"/>
      <c r="G37" s="930"/>
      <c r="H37" s="930"/>
      <c r="I37" s="930"/>
      <c r="J37" s="1023"/>
      <c r="K37" s="1105" t="s">
        <v>490</v>
      </c>
      <c r="L37" s="1035">
        <f>ROUND(SUM(L33:L36),4)</f>
        <v>4.8399999999999999E-2</v>
      </c>
    </row>
    <row r="38" spans="1:12" x14ac:dyDescent="0.2">
      <c r="A38" s="930"/>
      <c r="B38" s="930"/>
      <c r="C38" s="930"/>
      <c r="D38" s="930"/>
      <c r="E38" s="930"/>
      <c r="F38" s="930"/>
      <c r="G38" s="930"/>
      <c r="H38" s="930"/>
      <c r="I38" s="930"/>
      <c r="J38" s="1023"/>
      <c r="K38" s="1023"/>
      <c r="L38" s="1023"/>
    </row>
    <row r="39" spans="1:12" x14ac:dyDescent="0.2">
      <c r="A39" s="930"/>
      <c r="B39" s="930"/>
      <c r="C39" s="930"/>
      <c r="D39" s="930"/>
      <c r="E39" s="930"/>
      <c r="F39" s="930"/>
      <c r="G39" s="930"/>
      <c r="H39" s="930"/>
      <c r="I39" s="930"/>
      <c r="J39" s="1023"/>
      <c r="K39" s="1100" t="s">
        <v>491</v>
      </c>
      <c r="L39" s="1101">
        <f>L29+L37</f>
        <v>0.16</v>
      </c>
    </row>
    <row r="40" spans="1:12" x14ac:dyDescent="0.2">
      <c r="A40" s="1102" t="s">
        <v>492</v>
      </c>
      <c r="B40" s="930"/>
      <c r="C40" s="930"/>
      <c r="D40" s="930"/>
      <c r="E40" s="930"/>
      <c r="F40" s="1103">
        <v>1</v>
      </c>
      <c r="G40" s="1104" t="str">
        <f>L18</f>
        <v>m²</v>
      </c>
      <c r="H40" s="1102"/>
      <c r="I40" s="930"/>
      <c r="J40" s="1105"/>
      <c r="K40" s="1106" t="s">
        <v>493</v>
      </c>
      <c r="L40" s="1035">
        <f>L39/F40</f>
        <v>0.16</v>
      </c>
    </row>
    <row r="41" spans="1:12" x14ac:dyDescent="0.2">
      <c r="A41" s="1102"/>
      <c r="B41" s="930" t="s">
        <v>494</v>
      </c>
      <c r="C41" s="930"/>
      <c r="D41" s="930"/>
      <c r="E41" s="930"/>
      <c r="F41" s="1103">
        <v>8.1600000000000006E-3</v>
      </c>
      <c r="G41" s="1104"/>
      <c r="H41" s="1102"/>
      <c r="I41" s="930"/>
      <c r="J41" s="1105"/>
      <c r="K41" s="1100" t="s">
        <v>495</v>
      </c>
      <c r="L41" s="1035">
        <f>L40*F41</f>
        <v>1.3056000000000001E-3</v>
      </c>
    </row>
    <row r="42" spans="1:12" x14ac:dyDescent="0.2">
      <c r="A42" s="1102"/>
      <c r="B42" s="930" t="s">
        <v>496</v>
      </c>
      <c r="C42" s="930"/>
      <c r="D42" s="930"/>
      <c r="E42" s="930"/>
      <c r="F42" s="1202"/>
      <c r="G42" s="1104"/>
      <c r="H42" s="1105"/>
      <c r="I42" s="1107"/>
      <c r="J42" s="1023"/>
      <c r="K42" s="1100" t="s">
        <v>497</v>
      </c>
      <c r="L42" s="1035">
        <f>L40*F42</f>
        <v>0</v>
      </c>
    </row>
    <row r="43" spans="1:12" x14ac:dyDescent="0.2">
      <c r="A43" s="930"/>
      <c r="B43" s="930"/>
      <c r="C43" s="930"/>
      <c r="D43" s="930"/>
      <c r="E43" s="930"/>
      <c r="F43" s="930"/>
      <c r="G43" s="930"/>
      <c r="H43" s="930"/>
      <c r="I43" s="930"/>
      <c r="J43" s="1023"/>
      <c r="K43" s="1023"/>
      <c r="L43" s="1099"/>
    </row>
    <row r="44" spans="1:12" x14ac:dyDescent="0.2">
      <c r="A44" s="1462" t="s">
        <v>498</v>
      </c>
      <c r="B44" s="1462"/>
      <c r="C44" s="1462"/>
      <c r="D44" s="1462"/>
      <c r="E44" s="1462"/>
      <c r="F44" s="1462"/>
      <c r="G44" s="1462"/>
      <c r="H44" s="1462"/>
      <c r="I44" s="1456" t="s">
        <v>499</v>
      </c>
      <c r="J44" s="1456"/>
      <c r="K44" s="1456"/>
      <c r="L44" s="1108">
        <f>ROUND(SUM(L40:L43),4)</f>
        <v>0.1613</v>
      </c>
    </row>
    <row r="45" spans="1:12" x14ac:dyDescent="0.2">
      <c r="A45" s="910"/>
      <c r="B45" s="910"/>
      <c r="C45" s="910"/>
      <c r="D45" s="910"/>
      <c r="E45" s="910"/>
      <c r="F45" s="910"/>
      <c r="G45" s="1109"/>
      <c r="H45" s="1109"/>
      <c r="I45" s="933"/>
      <c r="J45" s="933"/>
      <c r="K45" s="933"/>
      <c r="L45" s="910"/>
    </row>
    <row r="46" spans="1:12" x14ac:dyDescent="0.2">
      <c r="A46" s="1462" t="s">
        <v>500</v>
      </c>
      <c r="B46" s="1462"/>
      <c r="C46" s="1462"/>
      <c r="D46" s="1462"/>
      <c r="E46" s="1462"/>
      <c r="F46" s="1462"/>
      <c r="G46" s="1462"/>
      <c r="H46" s="1460" t="s">
        <v>166</v>
      </c>
      <c r="I46" s="1460"/>
      <c r="J46" s="1460" t="s">
        <v>165</v>
      </c>
      <c r="K46" s="1076" t="s">
        <v>501</v>
      </c>
      <c r="L46" s="1076" t="s">
        <v>484</v>
      </c>
    </row>
    <row r="47" spans="1:12" x14ac:dyDescent="0.2">
      <c r="A47" s="1462"/>
      <c r="B47" s="1462"/>
      <c r="C47" s="1462"/>
      <c r="D47" s="1462"/>
      <c r="E47" s="1462"/>
      <c r="F47" s="1462"/>
      <c r="G47" s="1462"/>
      <c r="H47" s="1460"/>
      <c r="I47" s="1460"/>
      <c r="J47" s="1460"/>
      <c r="K47" s="1110" t="s">
        <v>451</v>
      </c>
      <c r="L47" s="1026" t="s">
        <v>451</v>
      </c>
    </row>
    <row r="48" spans="1:12" x14ac:dyDescent="0.2">
      <c r="A48" s="1244"/>
      <c r="B48" s="942"/>
      <c r="C48" s="979"/>
      <c r="D48" s="942"/>
      <c r="E48" s="942"/>
      <c r="F48" s="942"/>
      <c r="G48" s="937"/>
      <c r="H48" s="1521"/>
      <c r="I48" s="1521"/>
      <c r="J48" s="1113"/>
      <c r="K48" s="1020"/>
      <c r="L48" s="1245">
        <f>H48*K48</f>
        <v>0</v>
      </c>
    </row>
    <row r="49" spans="1:12" x14ac:dyDescent="0.2">
      <c r="A49" s="1114"/>
      <c r="B49" s="979"/>
      <c r="C49" s="979"/>
      <c r="D49" s="942"/>
      <c r="E49" s="942"/>
      <c r="F49" s="942"/>
      <c r="G49" s="937"/>
      <c r="H49" s="1495"/>
      <c r="I49" s="1495"/>
      <c r="J49" s="1113"/>
      <c r="K49" s="1020"/>
      <c r="L49" s="1138">
        <f>H49*K49</f>
        <v>0</v>
      </c>
    </row>
    <row r="50" spans="1:12" x14ac:dyDescent="0.2">
      <c r="A50" s="1114"/>
      <c r="B50" s="979"/>
      <c r="C50" s="979"/>
      <c r="D50" s="942"/>
      <c r="E50" s="942"/>
      <c r="F50" s="942"/>
      <c r="G50" s="937"/>
      <c r="H50" s="1495"/>
      <c r="I50" s="1495"/>
      <c r="J50" s="1113"/>
      <c r="K50" s="1020"/>
      <c r="L50" s="1138">
        <f>H50*K50</f>
        <v>0</v>
      </c>
    </row>
    <row r="51" spans="1:12" x14ac:dyDescent="0.2">
      <c r="A51" s="1114"/>
      <c r="B51" s="979"/>
      <c r="C51" s="979">
        <f>-C49</f>
        <v>0</v>
      </c>
      <c r="D51" s="942"/>
      <c r="E51" s="942"/>
      <c r="F51" s="942"/>
      <c r="G51" s="937"/>
      <c r="H51" s="1495"/>
      <c r="I51" s="1495"/>
      <c r="J51" s="1113"/>
      <c r="K51" s="1020"/>
      <c r="L51" s="1138">
        <f>H51*K51</f>
        <v>0</v>
      </c>
    </row>
    <row r="52" spans="1:12" x14ac:dyDescent="0.2">
      <c r="A52" s="1114"/>
      <c r="B52" s="979"/>
      <c r="C52" s="979"/>
      <c r="D52" s="1083"/>
      <c r="E52" s="1083"/>
      <c r="F52" s="1083"/>
      <c r="G52" s="1115"/>
      <c r="H52" s="1512"/>
      <c r="I52" s="1512"/>
      <c r="J52" s="1113"/>
      <c r="K52" s="1020"/>
      <c r="L52" s="1246">
        <f>H52*K52</f>
        <v>0</v>
      </c>
    </row>
    <row r="53" spans="1:12" x14ac:dyDescent="0.2">
      <c r="A53" s="1454" t="s">
        <v>502</v>
      </c>
      <c r="B53" s="1454"/>
      <c r="C53" s="1454"/>
      <c r="D53" s="1454"/>
      <c r="E53" s="1454"/>
      <c r="F53" s="1454"/>
      <c r="G53" s="1454"/>
      <c r="H53" s="1454"/>
      <c r="I53" s="1454"/>
      <c r="J53" s="1454"/>
      <c r="K53" s="1454"/>
      <c r="L53" s="1108">
        <f>ROUND(SUM(L48:L52),4)</f>
        <v>0</v>
      </c>
    </row>
    <row r="54" spans="1:12" x14ac:dyDescent="0.2">
      <c r="A54" s="932"/>
      <c r="B54" s="932"/>
      <c r="C54" s="932"/>
      <c r="D54" s="932"/>
      <c r="E54" s="932"/>
      <c r="F54" s="932"/>
      <c r="G54" s="932"/>
      <c r="H54" s="932"/>
      <c r="I54" s="932"/>
      <c r="J54" s="910"/>
      <c r="K54" s="1117"/>
      <c r="L54" s="1118"/>
    </row>
    <row r="55" spans="1:12" ht="13.9" customHeight="1" x14ac:dyDescent="0.2">
      <c r="A55" s="1462" t="s">
        <v>503</v>
      </c>
      <c r="B55" s="1462"/>
      <c r="C55" s="1462"/>
      <c r="D55" s="1462"/>
      <c r="E55" s="1462"/>
      <c r="F55" s="1462"/>
      <c r="G55" s="1452" t="s">
        <v>504</v>
      </c>
      <c r="H55" s="1460" t="s">
        <v>505</v>
      </c>
      <c r="I55" s="1460"/>
      <c r="J55" s="1460"/>
      <c r="K55" s="1460"/>
      <c r="L55" s="1460" t="s">
        <v>506</v>
      </c>
    </row>
    <row r="56" spans="1:12" x14ac:dyDescent="0.2">
      <c r="A56" s="1462"/>
      <c r="B56" s="1462"/>
      <c r="C56" s="1462"/>
      <c r="D56" s="1462"/>
      <c r="E56" s="1462"/>
      <c r="F56" s="1462"/>
      <c r="G56" s="1452"/>
      <c r="H56" s="944" t="s">
        <v>112</v>
      </c>
      <c r="I56" s="1095" t="s">
        <v>380</v>
      </c>
      <c r="J56" s="1026" t="s">
        <v>383</v>
      </c>
      <c r="K56" s="1110" t="s">
        <v>385</v>
      </c>
      <c r="L56" s="1460"/>
    </row>
    <row r="57" spans="1:12" x14ac:dyDescent="0.2">
      <c r="A57" s="1462"/>
      <c r="B57" s="1462"/>
      <c r="C57" s="1462"/>
      <c r="D57" s="1462"/>
      <c r="E57" s="1462"/>
      <c r="F57" s="1462"/>
      <c r="G57" s="1452"/>
      <c r="H57" s="943" t="s">
        <v>507</v>
      </c>
      <c r="I57" s="1119"/>
      <c r="J57" s="1119"/>
      <c r="K57" s="1119"/>
      <c r="L57" s="1460"/>
    </row>
    <row r="58" spans="1:12" x14ac:dyDescent="0.2">
      <c r="A58" s="1488"/>
      <c r="B58" s="1489"/>
      <c r="C58" s="1490"/>
      <c r="D58" s="1502"/>
      <c r="E58" s="1502"/>
      <c r="F58" s="1503"/>
      <c r="G58" s="1493">
        <f>ROUND(H48/1000,5)</f>
        <v>0</v>
      </c>
      <c r="H58" s="1120" t="s">
        <v>508</v>
      </c>
      <c r="I58" s="1121"/>
      <c r="J58" s="1121"/>
      <c r="K58" s="1121"/>
      <c r="L58" s="1494">
        <f>G58*($I$57*I59+$J$57*J59+$K$57*K59)</f>
        <v>0</v>
      </c>
    </row>
    <row r="59" spans="1:12" x14ac:dyDescent="0.2">
      <c r="A59" s="1488"/>
      <c r="B59" s="1489"/>
      <c r="C59" s="1490"/>
      <c r="D59" s="1502"/>
      <c r="E59" s="1502"/>
      <c r="F59" s="1503"/>
      <c r="G59" s="1493"/>
      <c r="H59" s="1122" t="s">
        <v>509</v>
      </c>
      <c r="I59" s="1123"/>
      <c r="J59" s="1123"/>
      <c r="K59" s="1123"/>
      <c r="L59" s="1494"/>
    </row>
    <row r="60" spans="1:12" x14ac:dyDescent="0.2">
      <c r="A60" s="1043"/>
      <c r="B60" s="958"/>
      <c r="C60" s="979"/>
      <c r="D60" s="1151"/>
      <c r="E60" s="1151"/>
      <c r="F60" s="1141"/>
      <c r="G60" s="1112"/>
      <c r="H60" s="1235"/>
      <c r="I60" s="1236"/>
      <c r="J60" s="961"/>
      <c r="K60" s="1116"/>
      <c r="L60" s="986"/>
    </row>
    <row r="61" spans="1:12" x14ac:dyDescent="0.2">
      <c r="A61" s="1114"/>
      <c r="B61" s="979"/>
      <c r="C61" s="979"/>
      <c r="D61" s="1083"/>
      <c r="E61" s="1083"/>
      <c r="F61" s="1083"/>
      <c r="G61" s="1135"/>
      <c r="H61" s="1247"/>
      <c r="I61" s="1247"/>
      <c r="J61" s="1137"/>
      <c r="K61" s="1044"/>
      <c r="L61" s="1138">
        <f>G61*H61*K61</f>
        <v>0</v>
      </c>
    </row>
    <row r="62" spans="1:12" x14ac:dyDescent="0.2">
      <c r="A62" s="1454" t="s">
        <v>510</v>
      </c>
      <c r="B62" s="1454"/>
      <c r="C62" s="1454"/>
      <c r="D62" s="1454"/>
      <c r="E62" s="1454"/>
      <c r="F62" s="1454"/>
      <c r="G62" s="1454"/>
      <c r="H62" s="1454"/>
      <c r="I62" s="1454"/>
      <c r="J62" s="1454"/>
      <c r="K62" s="1454"/>
      <c r="L62" s="1025">
        <f>ROUND(SUM(L58:L61),4)</f>
        <v>0</v>
      </c>
    </row>
    <row r="63" spans="1:12" x14ac:dyDescent="0.2">
      <c r="A63" s="1049"/>
      <c r="B63" s="1049"/>
      <c r="C63" s="1049"/>
      <c r="D63" s="1049"/>
      <c r="E63" s="1049"/>
      <c r="F63" s="1049"/>
      <c r="G63" s="932"/>
      <c r="H63" s="1050"/>
      <c r="I63" s="1050"/>
      <c r="J63" s="1051"/>
      <c r="K63" s="1052"/>
      <c r="L63" s="1053"/>
    </row>
    <row r="64" spans="1:12" x14ac:dyDescent="0.2">
      <c r="A64" s="1454" t="s">
        <v>460</v>
      </c>
      <c r="B64" s="1454"/>
      <c r="C64" s="1454"/>
      <c r="D64" s="1454"/>
      <c r="E64" s="1454"/>
      <c r="F64" s="1454"/>
      <c r="G64" s="1454"/>
      <c r="H64" s="1454"/>
      <c r="I64" s="1454"/>
      <c r="J64" s="1454"/>
      <c r="K64" s="1454"/>
      <c r="L64" s="1025">
        <f>ROUND(L44+L53+L62,4)</f>
        <v>0.1613</v>
      </c>
    </row>
    <row r="65" spans="1:12" x14ac:dyDescent="0.2">
      <c r="A65" s="1455" t="s">
        <v>461</v>
      </c>
      <c r="B65" s="1455"/>
      <c r="C65" s="1455"/>
      <c r="D65" s="1455"/>
      <c r="E65" s="1455"/>
      <c r="F65" s="1455"/>
      <c r="G65" s="1455"/>
      <c r="H65" s="1455"/>
      <c r="I65" s="1455"/>
      <c r="J65" s="1455"/>
      <c r="K65" s="1055">
        <v>0.25569999999999998</v>
      </c>
      <c r="L65" s="1056">
        <f>ROUND(L64*K65,4)</f>
        <v>4.1200000000000001E-2</v>
      </c>
    </row>
    <row r="66" spans="1:12" x14ac:dyDescent="0.2">
      <c r="A66" s="1456" t="s">
        <v>462</v>
      </c>
      <c r="B66" s="1456"/>
      <c r="C66" s="1456"/>
      <c r="D66" s="1456"/>
      <c r="E66" s="1456"/>
      <c r="F66" s="1456"/>
      <c r="G66" s="1456"/>
      <c r="H66" s="1456"/>
      <c r="I66" s="1456"/>
      <c r="J66" s="1456"/>
      <c r="K66" s="1456"/>
      <c r="L66" s="1126">
        <f>ROUND(L64+L65,2)</f>
        <v>0.2</v>
      </c>
    </row>
    <row r="67" spans="1:12" x14ac:dyDescent="0.2">
      <c r="A67" s="1058"/>
      <c r="B67" s="1058"/>
      <c r="C67" s="1058"/>
      <c r="D67" s="1058"/>
      <c r="E67" s="1058"/>
      <c r="F67" s="1058"/>
      <c r="G67" s="1058"/>
      <c r="H67" s="1058"/>
      <c r="I67" s="1058"/>
      <c r="J67" s="1058"/>
      <c r="K67" s="1058"/>
      <c r="L67" s="1058"/>
    </row>
    <row r="68" spans="1:12" ht="19.5" customHeight="1" x14ac:dyDescent="0.2">
      <c r="A68" s="1059" t="s">
        <v>463</v>
      </c>
      <c r="B68" s="1060"/>
      <c r="C68" s="1518" t="s">
        <v>574</v>
      </c>
      <c r="D68" s="1518"/>
      <c r="E68" s="1518"/>
      <c r="F68" s="1518"/>
      <c r="G68" s="1518"/>
      <c r="H68" s="1518"/>
      <c r="I68" s="1518"/>
      <c r="J68" s="1518"/>
      <c r="K68" s="1518"/>
      <c r="L68" s="1518"/>
    </row>
    <row r="69" spans="1:12" ht="13.9" customHeight="1" x14ac:dyDescent="0.2">
      <c r="A69" s="1210"/>
      <c r="B69" s="1184"/>
      <c r="C69" s="1506" t="s">
        <v>575</v>
      </c>
      <c r="D69" s="1506"/>
      <c r="E69" s="1506"/>
      <c r="F69" s="1506"/>
      <c r="G69" s="1506"/>
      <c r="H69" s="1506"/>
      <c r="I69" s="1506"/>
      <c r="J69" s="1506"/>
      <c r="K69" s="1506"/>
      <c r="L69" s="1506"/>
    </row>
    <row r="70" spans="1:12" x14ac:dyDescent="0.2">
      <c r="A70" s="1248"/>
      <c r="B70" s="1249"/>
      <c r="C70" s="1249"/>
      <c r="D70" s="1249"/>
      <c r="E70" s="1249"/>
      <c r="F70" s="1249"/>
      <c r="G70" s="1249"/>
      <c r="H70" s="1249"/>
      <c r="I70" s="1249"/>
      <c r="J70" s="1249"/>
      <c r="K70" s="1249"/>
      <c r="L70" s="1250"/>
    </row>
    <row r="71" spans="1:12" x14ac:dyDescent="0.2">
      <c r="A71" s="1251"/>
      <c r="B71" s="1073"/>
      <c r="C71" s="1073"/>
      <c r="D71" s="1073"/>
      <c r="E71" s="1073"/>
      <c r="F71" s="1073"/>
      <c r="G71" s="1073"/>
      <c r="H71" s="1073"/>
      <c r="I71" s="1073"/>
      <c r="J71" s="1073"/>
      <c r="K71" s="1073"/>
      <c r="L71" s="1074"/>
    </row>
  </sheetData>
  <mergeCells count="50">
    <mergeCell ref="A1:L1"/>
    <mergeCell ref="A2:L2"/>
    <mergeCell ref="A3:L3"/>
    <mergeCell ref="A4:L4"/>
    <mergeCell ref="A5:K5"/>
    <mergeCell ref="A6:K6"/>
    <mergeCell ref="A7:K7"/>
    <mergeCell ref="L7:L8"/>
    <mergeCell ref="A10:L10"/>
    <mergeCell ref="A12:D12"/>
    <mergeCell ref="A15:L16"/>
    <mergeCell ref="E18:J18"/>
    <mergeCell ref="A20:F21"/>
    <mergeCell ref="G20:G21"/>
    <mergeCell ref="H20:I20"/>
    <mergeCell ref="J20:K20"/>
    <mergeCell ref="D22:F22"/>
    <mergeCell ref="A29:K29"/>
    <mergeCell ref="A31:I32"/>
    <mergeCell ref="J31:J32"/>
    <mergeCell ref="K31:K32"/>
    <mergeCell ref="D33:I33"/>
    <mergeCell ref="A44:H44"/>
    <mergeCell ref="I44:K44"/>
    <mergeCell ref="A46:G47"/>
    <mergeCell ref="H46:I47"/>
    <mergeCell ref="J46:J47"/>
    <mergeCell ref="H48:I48"/>
    <mergeCell ref="H49:I49"/>
    <mergeCell ref="H50:I50"/>
    <mergeCell ref="H51:I51"/>
    <mergeCell ref="H52:I52"/>
    <mergeCell ref="A53:K53"/>
    <mergeCell ref="A55:F57"/>
    <mergeCell ref="G55:G57"/>
    <mergeCell ref="H55:K55"/>
    <mergeCell ref="L55:L57"/>
    <mergeCell ref="A66:K66"/>
    <mergeCell ref="C68:L68"/>
    <mergeCell ref="C69:L69"/>
    <mergeCell ref="G58:G59"/>
    <mergeCell ref="L58:L59"/>
    <mergeCell ref="A62:K62"/>
    <mergeCell ref="A64:K64"/>
    <mergeCell ref="A65:J65"/>
    <mergeCell ref="A58:A59"/>
    <mergeCell ref="B58:B59"/>
    <mergeCell ref="C58:C59"/>
    <mergeCell ref="D58:E59"/>
    <mergeCell ref="F58:F59"/>
  </mergeCells>
  <dataValidations count="1">
    <dataValidation allowBlank="1" showInputMessage="1" showErrorMessage="1" prompt="Clique duas vezes sobre o número do item para ser direcionado à Planilha Orçamentária." sqref="D18" xr:uid="{00000000-0002-0000-0D00-000000000000}">
      <formula1>0</formula1>
      <formula2>0</formula2>
    </dataValidation>
  </dataValidations>
  <printOptions horizontalCentered="1" verticalCentered="1"/>
  <pageMargins left="0.51180555555555496" right="0.51180555555555496" top="0.78749999999999998" bottom="0.78749999999999998" header="0.51180555555555496" footer="0.51180555555555496"/>
  <pageSetup paperSize="9" scale="70" firstPageNumber="0"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71"/>
  <sheetViews>
    <sheetView topLeftCell="A34" zoomScale="83" zoomScaleNormal="83" workbookViewId="0"/>
  </sheetViews>
  <sheetFormatPr defaultRowHeight="15" x14ac:dyDescent="0.2"/>
  <cols>
    <col min="1" max="2" width="7.6640625" style="902" customWidth="1"/>
    <col min="3" max="3" width="1.4765625" style="902" customWidth="1"/>
    <col min="4" max="4" width="3.765625" style="902" customWidth="1"/>
    <col min="5" max="5" width="23.67578125" style="902" customWidth="1"/>
    <col min="6" max="6" width="12.64453125" style="902" customWidth="1"/>
    <col min="7" max="7" width="8.7421875" style="902" customWidth="1"/>
    <col min="8" max="8" width="9.01171875" style="902" customWidth="1"/>
    <col min="9" max="11" width="8.7421875" style="902" customWidth="1"/>
    <col min="12" max="12" width="10.76171875" style="902" customWidth="1"/>
    <col min="13" max="1025" width="8.7421875" customWidth="1"/>
  </cols>
  <sheetData>
    <row r="1" spans="1:12" x14ac:dyDescent="0.2">
      <c r="A1" s="1474"/>
      <c r="B1" s="1474"/>
      <c r="C1" s="1474"/>
      <c r="D1" s="1474"/>
      <c r="E1" s="1474"/>
      <c r="F1" s="1474"/>
      <c r="G1" s="1474"/>
      <c r="H1" s="1474"/>
      <c r="I1" s="1474"/>
      <c r="J1" s="1474"/>
      <c r="K1" s="1474"/>
      <c r="L1" s="1474"/>
    </row>
    <row r="2" spans="1:12" x14ac:dyDescent="0.2">
      <c r="A2" s="1475" t="s">
        <v>629</v>
      </c>
      <c r="B2" s="1475"/>
      <c r="C2" s="1475"/>
      <c r="D2" s="1475"/>
      <c r="E2" s="1475"/>
      <c r="F2" s="1475"/>
      <c r="G2" s="1475"/>
      <c r="H2" s="1475"/>
      <c r="I2" s="1475"/>
      <c r="J2" s="1475"/>
      <c r="K2" s="1475"/>
      <c r="L2" s="1475"/>
    </row>
    <row r="3" spans="1:12" x14ac:dyDescent="0.2">
      <c r="A3" s="1474"/>
      <c r="B3" s="1474"/>
      <c r="C3" s="1474"/>
      <c r="D3" s="1474"/>
      <c r="E3" s="1474"/>
      <c r="F3" s="1474"/>
      <c r="G3" s="1474"/>
      <c r="H3" s="1474"/>
      <c r="I3" s="1474"/>
      <c r="J3" s="1474"/>
      <c r="K3" s="1474"/>
      <c r="L3" s="1474"/>
    </row>
    <row r="4" spans="1:12" x14ac:dyDescent="0.2">
      <c r="A4" s="1476"/>
      <c r="B4" s="1476"/>
      <c r="C4" s="1476"/>
      <c r="D4" s="1476"/>
      <c r="E4" s="1476"/>
      <c r="F4" s="1476"/>
      <c r="G4" s="1476"/>
      <c r="H4" s="1476"/>
      <c r="I4" s="1476"/>
      <c r="J4" s="1476"/>
      <c r="K4" s="1476"/>
      <c r="L4" s="1476"/>
    </row>
    <row r="5" spans="1:12" x14ac:dyDescent="0.2">
      <c r="A5" s="1477"/>
      <c r="B5" s="1477"/>
      <c r="C5" s="1477"/>
      <c r="D5" s="1477"/>
      <c r="E5" s="1477"/>
      <c r="F5" s="1477"/>
      <c r="G5" s="1477"/>
      <c r="H5" s="1477"/>
      <c r="I5" s="1477"/>
      <c r="J5" s="1477"/>
      <c r="K5" s="1477"/>
      <c r="L5" s="903" t="s">
        <v>419</v>
      </c>
    </row>
    <row r="6" spans="1:12" x14ac:dyDescent="0.2">
      <c r="A6" s="1469"/>
      <c r="B6" s="1469"/>
      <c r="C6" s="1469"/>
      <c r="D6" s="1469"/>
      <c r="E6" s="1469"/>
      <c r="F6" s="1469"/>
      <c r="G6" s="1469"/>
      <c r="H6" s="1469"/>
      <c r="I6" s="1469"/>
      <c r="J6" s="1469"/>
      <c r="K6" s="1469"/>
      <c r="L6" s="1075"/>
    </row>
    <row r="7" spans="1:12" ht="13.9" customHeight="1" x14ac:dyDescent="0.2">
      <c r="A7" s="1469"/>
      <c r="B7" s="1469"/>
      <c r="C7" s="1469"/>
      <c r="D7" s="1469"/>
      <c r="E7" s="1469"/>
      <c r="F7" s="1469"/>
      <c r="G7" s="1469"/>
      <c r="H7" s="1469"/>
      <c r="I7" s="1469"/>
      <c r="J7" s="1469"/>
      <c r="K7" s="1469"/>
      <c r="L7" s="1470" t="s">
        <v>576</v>
      </c>
    </row>
    <row r="8" spans="1:12" x14ac:dyDescent="0.2">
      <c r="A8" s="904"/>
      <c r="B8" s="905"/>
      <c r="C8" s="906"/>
      <c r="D8" s="907"/>
      <c r="E8" s="908"/>
      <c r="F8" s="906"/>
      <c r="G8" s="906"/>
      <c r="H8" s="906"/>
      <c r="I8" s="906"/>
      <c r="J8" s="906"/>
      <c r="K8" s="909"/>
      <c r="L8" s="1470"/>
    </row>
    <row r="9" spans="1:12" x14ac:dyDescent="0.2">
      <c r="A9" s="910"/>
      <c r="B9" s="910"/>
      <c r="C9" s="911"/>
      <c r="D9" s="912"/>
      <c r="E9" s="912"/>
      <c r="F9" s="913"/>
      <c r="G9" s="913"/>
      <c r="H9" s="913"/>
      <c r="I9" s="913"/>
      <c r="J9" s="913"/>
      <c r="K9" s="913"/>
      <c r="L9" s="914"/>
    </row>
    <row r="10" spans="1:12" x14ac:dyDescent="0.2">
      <c r="A10" s="1471"/>
      <c r="B10" s="1471"/>
      <c r="C10" s="1471"/>
      <c r="D10" s="1471"/>
      <c r="E10" s="1471"/>
      <c r="F10" s="1471"/>
      <c r="G10" s="1471"/>
      <c r="H10" s="1471"/>
      <c r="I10" s="1471"/>
      <c r="J10" s="1471"/>
      <c r="K10" s="1471"/>
      <c r="L10" s="1471"/>
    </row>
    <row r="11" spans="1:12" x14ac:dyDescent="0.2">
      <c r="A11" s="915"/>
      <c r="B11" s="912"/>
      <c r="C11" s="911"/>
      <c r="D11" s="912"/>
      <c r="E11" s="911"/>
      <c r="F11" s="911"/>
      <c r="G11" s="911"/>
      <c r="H11" s="911"/>
      <c r="I11" s="911"/>
      <c r="J11" s="911"/>
      <c r="K11" s="911"/>
      <c r="L11" s="916"/>
    </row>
    <row r="12" spans="1:12" x14ac:dyDescent="0.2">
      <c r="A12" s="1472" t="s">
        <v>421</v>
      </c>
      <c r="B12" s="1472"/>
      <c r="C12" s="1472"/>
      <c r="D12" s="1472"/>
      <c r="E12" s="917" t="s">
        <v>648</v>
      </c>
      <c r="F12" s="918"/>
      <c r="G12" s="918"/>
      <c r="H12" s="918"/>
      <c r="I12" s="918"/>
      <c r="J12" s="918"/>
      <c r="K12" s="918"/>
      <c r="L12" s="919"/>
    </row>
    <row r="13" spans="1:12" x14ac:dyDescent="0.2">
      <c r="A13" s="920"/>
      <c r="B13" s="907"/>
      <c r="C13" s="921"/>
      <c r="D13" s="907"/>
      <c r="E13" s="907"/>
      <c r="F13" s="906"/>
      <c r="G13" s="906"/>
      <c r="H13" s="906"/>
      <c r="I13" s="906"/>
      <c r="J13" s="906"/>
      <c r="K13" s="906"/>
      <c r="L13" s="922"/>
    </row>
    <row r="14" spans="1:12" x14ac:dyDescent="0.2">
      <c r="A14" s="913"/>
      <c r="B14" s="913"/>
      <c r="C14" s="913"/>
      <c r="D14" s="913"/>
      <c r="E14" s="913"/>
      <c r="F14" s="913"/>
      <c r="G14" s="913"/>
      <c r="H14" s="913"/>
      <c r="I14" s="913"/>
      <c r="J14" s="913"/>
      <c r="K14" s="913"/>
      <c r="L14" s="914"/>
    </row>
    <row r="15" spans="1:12" x14ac:dyDescent="0.2">
      <c r="A15" s="1473" t="s">
        <v>422</v>
      </c>
      <c r="B15" s="1473"/>
      <c r="C15" s="1473"/>
      <c r="D15" s="1473"/>
      <c r="E15" s="1473"/>
      <c r="F15" s="1473"/>
      <c r="G15" s="1473"/>
      <c r="H15" s="1473"/>
      <c r="I15" s="1473"/>
      <c r="J15" s="1473"/>
      <c r="K15" s="1473"/>
      <c r="L15" s="1473"/>
    </row>
    <row r="16" spans="1:12" x14ac:dyDescent="0.2">
      <c r="A16" s="1473"/>
      <c r="B16" s="1473"/>
      <c r="C16" s="1473"/>
      <c r="D16" s="1473"/>
      <c r="E16" s="1473"/>
      <c r="F16" s="1473"/>
      <c r="G16" s="1473"/>
      <c r="H16" s="1473"/>
      <c r="I16" s="1473"/>
      <c r="J16" s="1473"/>
      <c r="K16" s="1473"/>
      <c r="L16" s="1473"/>
    </row>
    <row r="17" spans="1:12" x14ac:dyDescent="0.2">
      <c r="A17" s="923"/>
      <c r="B17" s="923"/>
      <c r="C17" s="923"/>
      <c r="D17" s="923"/>
      <c r="E17" s="923"/>
      <c r="F17" s="923"/>
      <c r="G17" s="923"/>
      <c r="H17" s="923"/>
      <c r="I17" s="923"/>
      <c r="J17" s="923"/>
      <c r="K17" s="923"/>
      <c r="L17" s="923"/>
    </row>
    <row r="18" spans="1:12" ht="23.25" customHeight="1" x14ac:dyDescent="0.2">
      <c r="A18" s="924" t="s">
        <v>423</v>
      </c>
      <c r="B18" s="925"/>
      <c r="C18" s="925"/>
      <c r="D18" s="926" t="s">
        <v>576</v>
      </c>
      <c r="E18" s="1515" t="s">
        <v>577</v>
      </c>
      <c r="F18" s="1515"/>
      <c r="G18" s="1515"/>
      <c r="H18" s="1515"/>
      <c r="I18" s="1515"/>
      <c r="J18" s="1515"/>
      <c r="K18" s="928" t="s">
        <v>425</v>
      </c>
      <c r="L18" s="929" t="s">
        <v>482</v>
      </c>
    </row>
    <row r="19" spans="1:12" x14ac:dyDescent="0.2">
      <c r="A19" s="910"/>
      <c r="B19" s="910"/>
      <c r="C19" s="910"/>
      <c r="D19" s="910"/>
      <c r="E19" s="910"/>
      <c r="F19" s="910"/>
      <c r="G19" s="910"/>
      <c r="H19" s="910"/>
      <c r="I19" s="910"/>
      <c r="J19" s="910"/>
      <c r="K19" s="910"/>
      <c r="L19" s="910"/>
    </row>
    <row r="20" spans="1:12" x14ac:dyDescent="0.2">
      <c r="A20" s="1462" t="s">
        <v>434</v>
      </c>
      <c r="B20" s="1462"/>
      <c r="C20" s="1462"/>
      <c r="D20" s="1462"/>
      <c r="E20" s="1462"/>
      <c r="F20" s="1462"/>
      <c r="G20" s="1460" t="s">
        <v>166</v>
      </c>
      <c r="H20" s="1460" t="s">
        <v>362</v>
      </c>
      <c r="I20" s="1460"/>
      <c r="J20" s="1500" t="s">
        <v>483</v>
      </c>
      <c r="K20" s="1500"/>
      <c r="L20" s="1076" t="s">
        <v>484</v>
      </c>
    </row>
    <row r="21" spans="1:12" x14ac:dyDescent="0.2">
      <c r="A21" s="1462"/>
      <c r="B21" s="1462"/>
      <c r="C21" s="1462"/>
      <c r="D21" s="1462"/>
      <c r="E21" s="1462"/>
      <c r="F21" s="1462"/>
      <c r="G21" s="1460"/>
      <c r="H21" s="943" t="s">
        <v>485</v>
      </c>
      <c r="I21" s="1077" t="s">
        <v>486</v>
      </c>
      <c r="J21" s="943" t="s">
        <v>485</v>
      </c>
      <c r="K21" s="1077" t="s">
        <v>486</v>
      </c>
      <c r="L21" s="1026" t="s">
        <v>487</v>
      </c>
    </row>
    <row r="22" spans="1:12" ht="18" customHeight="1" x14ac:dyDescent="0.2">
      <c r="A22" s="1043" t="s">
        <v>379</v>
      </c>
      <c r="B22" s="1130" t="s">
        <v>665</v>
      </c>
      <c r="C22" s="979" t="s">
        <v>442</v>
      </c>
      <c r="D22" s="1520" t="s">
        <v>666</v>
      </c>
      <c r="E22" s="1520"/>
      <c r="F22" s="1520"/>
      <c r="G22" s="1112">
        <v>1</v>
      </c>
      <c r="H22" s="1116">
        <v>1</v>
      </c>
      <c r="I22" s="961">
        <v>0</v>
      </c>
      <c r="J22" s="986">
        <v>199.35740000000001</v>
      </c>
      <c r="K22" s="986">
        <v>80.469300000000004</v>
      </c>
      <c r="L22" s="986">
        <f>(G22*H22*J22)+(G22*I22*K22)</f>
        <v>199.35740000000001</v>
      </c>
    </row>
    <row r="23" spans="1:12" x14ac:dyDescent="0.2">
      <c r="A23" s="1153"/>
      <c r="B23" s="942"/>
      <c r="C23" s="979"/>
      <c r="D23" s="942"/>
      <c r="E23" s="942"/>
      <c r="F23" s="942"/>
      <c r="G23" s="1112"/>
      <c r="H23" s="1116"/>
      <c r="I23" s="961"/>
      <c r="J23" s="1081"/>
      <c r="K23" s="1087"/>
      <c r="L23" s="986">
        <f>(G23*H23*J23)+(G23*I23*K23)</f>
        <v>0</v>
      </c>
    </row>
    <row r="24" spans="1:12" x14ac:dyDescent="0.2">
      <c r="A24" s="1153"/>
      <c r="B24" s="942"/>
      <c r="C24" s="979"/>
      <c r="D24" s="942"/>
      <c r="E24" s="942"/>
      <c r="F24" s="942"/>
      <c r="G24" s="1112"/>
      <c r="H24" s="1116"/>
      <c r="I24" s="961"/>
      <c r="J24" s="1081"/>
      <c r="K24" s="1087"/>
      <c r="L24" s="986">
        <f>(G24*H24*J24)+(G24*I24*K24)</f>
        <v>0</v>
      </c>
    </row>
    <row r="25" spans="1:12" x14ac:dyDescent="0.2">
      <c r="A25" s="1153"/>
      <c r="B25" s="942"/>
      <c r="C25" s="979"/>
      <c r="D25" s="942"/>
      <c r="E25" s="942"/>
      <c r="F25" s="942"/>
      <c r="G25" s="1112"/>
      <c r="H25" s="1116"/>
      <c r="I25" s="961"/>
      <c r="J25" s="1081"/>
      <c r="K25" s="1087"/>
      <c r="L25" s="986">
        <f>(G25*H25*J25)+(G25*I25*K25)</f>
        <v>0</v>
      </c>
    </row>
    <row r="26" spans="1:12" x14ac:dyDescent="0.2">
      <c r="A26" s="1153"/>
      <c r="B26" s="942"/>
      <c r="C26" s="979"/>
      <c r="D26" s="942"/>
      <c r="E26" s="942"/>
      <c r="F26" s="942"/>
      <c r="G26" s="1112"/>
      <c r="H26" s="1116"/>
      <c r="I26" s="961"/>
      <c r="J26" s="1081"/>
      <c r="K26" s="1087"/>
      <c r="L26" s="986"/>
    </row>
    <row r="27" spans="1:12" x14ac:dyDescent="0.2">
      <c r="A27" s="1153"/>
      <c r="B27" s="942"/>
      <c r="C27" s="979"/>
      <c r="D27" s="942"/>
      <c r="E27" s="942"/>
      <c r="F27" s="942"/>
      <c r="G27" s="1112"/>
      <c r="H27" s="1116"/>
      <c r="I27" s="961"/>
      <c r="J27" s="1081"/>
      <c r="K27" s="1087"/>
      <c r="L27" s="986"/>
    </row>
    <row r="28" spans="1:12" x14ac:dyDescent="0.2">
      <c r="A28" s="1153"/>
      <c r="B28" s="942"/>
      <c r="C28" s="979"/>
      <c r="D28" s="942"/>
      <c r="E28" s="942"/>
      <c r="F28" s="942"/>
      <c r="G28" s="1096"/>
      <c r="H28" s="1116"/>
      <c r="I28" s="961"/>
      <c r="J28" s="1086"/>
      <c r="K28" s="1087"/>
      <c r="L28" s="986"/>
    </row>
    <row r="29" spans="1:12" x14ac:dyDescent="0.2">
      <c r="A29" s="1497" t="s">
        <v>488</v>
      </c>
      <c r="B29" s="1497"/>
      <c r="C29" s="1497"/>
      <c r="D29" s="1497"/>
      <c r="E29" s="1497"/>
      <c r="F29" s="1497"/>
      <c r="G29" s="1497"/>
      <c r="H29" s="1497"/>
      <c r="I29" s="1497"/>
      <c r="J29" s="1497"/>
      <c r="K29" s="1497"/>
      <c r="L29" s="1035">
        <f>ROUND(SUM(L22:L28),4)</f>
        <v>199.35740000000001</v>
      </c>
    </row>
    <row r="30" spans="1:12" x14ac:dyDescent="0.2">
      <c r="A30" s="930"/>
      <c r="B30" s="930"/>
      <c r="C30" s="930"/>
      <c r="D30" s="930"/>
      <c r="E30" s="930"/>
      <c r="F30" s="930"/>
      <c r="G30" s="930"/>
      <c r="H30" s="1023"/>
      <c r="I30" s="1023"/>
      <c r="J30" s="1023"/>
      <c r="K30" s="1023"/>
      <c r="L30" s="1023"/>
    </row>
    <row r="31" spans="1:12" ht="13.9" customHeight="1" x14ac:dyDescent="0.2">
      <c r="A31" s="1462" t="s">
        <v>447</v>
      </c>
      <c r="B31" s="1462"/>
      <c r="C31" s="1462"/>
      <c r="D31" s="1462"/>
      <c r="E31" s="1462"/>
      <c r="F31" s="1462"/>
      <c r="G31" s="1462"/>
      <c r="H31" s="1462"/>
      <c r="I31" s="1462"/>
      <c r="J31" s="1460" t="s">
        <v>166</v>
      </c>
      <c r="K31" s="1452" t="s">
        <v>489</v>
      </c>
      <c r="L31" s="1076" t="s">
        <v>449</v>
      </c>
    </row>
    <row r="32" spans="1:12" x14ac:dyDescent="0.2">
      <c r="A32" s="1462"/>
      <c r="B32" s="1462"/>
      <c r="C32" s="1462"/>
      <c r="D32" s="1462"/>
      <c r="E32" s="1462"/>
      <c r="F32" s="1462"/>
      <c r="G32" s="1462"/>
      <c r="H32" s="1462"/>
      <c r="I32" s="1462"/>
      <c r="J32" s="1460"/>
      <c r="K32" s="1452"/>
      <c r="L32" s="1026" t="s">
        <v>487</v>
      </c>
    </row>
    <row r="33" spans="1:12" x14ac:dyDescent="0.2">
      <c r="A33" s="1043" t="s">
        <v>379</v>
      </c>
      <c r="B33" s="1130" t="s">
        <v>697</v>
      </c>
      <c r="C33" s="979" t="s">
        <v>442</v>
      </c>
      <c r="D33" s="1525" t="s">
        <v>698</v>
      </c>
      <c r="E33" s="1525"/>
      <c r="F33" s="1525"/>
      <c r="G33" s="1525"/>
      <c r="H33" s="1525"/>
      <c r="I33" s="1525"/>
      <c r="J33" s="1080">
        <v>2</v>
      </c>
      <c r="K33" s="1020">
        <v>16.13</v>
      </c>
      <c r="L33" s="1243">
        <f>J33*K33</f>
        <v>32.26</v>
      </c>
    </row>
    <row r="34" spans="1:12" x14ac:dyDescent="0.2">
      <c r="A34" s="1043"/>
      <c r="B34" s="1130"/>
      <c r="C34" s="979"/>
      <c r="D34" s="942"/>
      <c r="E34" s="942"/>
      <c r="F34" s="942"/>
      <c r="G34" s="942"/>
      <c r="H34" s="942"/>
      <c r="I34" s="1144"/>
      <c r="J34" s="1080"/>
      <c r="K34" s="1020"/>
      <c r="L34" s="1243"/>
    </row>
    <row r="35" spans="1:12" x14ac:dyDescent="0.2">
      <c r="A35" s="1153"/>
      <c r="B35" s="942"/>
      <c r="C35" s="979"/>
      <c r="D35" s="942"/>
      <c r="E35" s="942"/>
      <c r="F35" s="942"/>
      <c r="G35" s="910"/>
      <c r="H35" s="979"/>
      <c r="I35" s="1092"/>
      <c r="J35" s="1080"/>
      <c r="K35" s="1020"/>
      <c r="L35" s="1243">
        <f>J35*K35</f>
        <v>0</v>
      </c>
    </row>
    <row r="36" spans="1:12" x14ac:dyDescent="0.2">
      <c r="A36" s="1082"/>
      <c r="B36" s="1083"/>
      <c r="C36" s="1083"/>
      <c r="D36" s="1083"/>
      <c r="E36" s="1083"/>
      <c r="F36" s="1083"/>
      <c r="G36" s="905"/>
      <c r="H36" s="1077"/>
      <c r="I36" s="1095"/>
      <c r="J36" s="1085"/>
      <c r="K36" s="1020"/>
      <c r="L36" s="1243">
        <f>J36*K36</f>
        <v>0</v>
      </c>
    </row>
    <row r="37" spans="1:12" x14ac:dyDescent="0.2">
      <c r="A37" s="1102"/>
      <c r="B37" s="930"/>
      <c r="C37" s="930"/>
      <c r="D37" s="930"/>
      <c r="E37" s="930"/>
      <c r="F37" s="930"/>
      <c r="G37" s="930"/>
      <c r="H37" s="930"/>
      <c r="I37" s="930"/>
      <c r="J37" s="1023"/>
      <c r="K37" s="1105" t="s">
        <v>490</v>
      </c>
      <c r="L37" s="1035">
        <f>ROUND(SUM(L33:L36),4)</f>
        <v>32.26</v>
      </c>
    </row>
    <row r="38" spans="1:12" x14ac:dyDescent="0.2">
      <c r="A38" s="930"/>
      <c r="B38" s="930"/>
      <c r="C38" s="930"/>
      <c r="D38" s="930"/>
      <c r="E38" s="930"/>
      <c r="F38" s="930"/>
      <c r="G38" s="930"/>
      <c r="H38" s="930"/>
      <c r="I38" s="930"/>
      <c r="J38" s="1023"/>
      <c r="K38" s="1023"/>
      <c r="L38" s="1023"/>
    </row>
    <row r="39" spans="1:12" x14ac:dyDescent="0.2">
      <c r="A39" s="930"/>
      <c r="B39" s="930"/>
      <c r="C39" s="930"/>
      <c r="D39" s="930"/>
      <c r="E39" s="930"/>
      <c r="F39" s="930"/>
      <c r="G39" s="930"/>
      <c r="H39" s="930"/>
      <c r="I39" s="930"/>
      <c r="J39" s="1023"/>
      <c r="K39" s="1100" t="s">
        <v>491</v>
      </c>
      <c r="L39" s="1101">
        <f>L29+L37</f>
        <v>231.6174</v>
      </c>
    </row>
    <row r="40" spans="1:12" x14ac:dyDescent="0.2">
      <c r="A40" s="1102" t="s">
        <v>492</v>
      </c>
      <c r="B40" s="930"/>
      <c r="C40" s="930"/>
      <c r="D40" s="930"/>
      <c r="E40" s="930"/>
      <c r="F40" s="1103">
        <v>1144</v>
      </c>
      <c r="G40" s="1104" t="str">
        <f>L18</f>
        <v>m²</v>
      </c>
      <c r="H40" s="1102"/>
      <c r="I40" s="930"/>
      <c r="J40" s="1105"/>
      <c r="K40" s="1106" t="s">
        <v>493</v>
      </c>
      <c r="L40" s="1035">
        <f>L39/F40</f>
        <v>0.20246276223776224</v>
      </c>
    </row>
    <row r="41" spans="1:12" x14ac:dyDescent="0.2">
      <c r="A41" s="1102"/>
      <c r="B41" s="930" t="s">
        <v>494</v>
      </c>
      <c r="C41" s="930"/>
      <c r="D41" s="930"/>
      <c r="E41" s="930"/>
      <c r="F41" s="1103">
        <v>8.1600000000000006E-3</v>
      </c>
      <c r="G41" s="1104"/>
      <c r="H41" s="1102"/>
      <c r="I41" s="930"/>
      <c r="J41" s="1105"/>
      <c r="K41" s="1100" t="s">
        <v>495</v>
      </c>
      <c r="L41" s="1035">
        <f>L40*F41</f>
        <v>1.65209613986014E-3</v>
      </c>
    </row>
    <row r="42" spans="1:12" x14ac:dyDescent="0.2">
      <c r="A42" s="1102"/>
      <c r="B42" s="930" t="s">
        <v>496</v>
      </c>
      <c r="C42" s="930"/>
      <c r="D42" s="930"/>
      <c r="E42" s="930"/>
      <c r="F42" s="1202"/>
      <c r="G42" s="1104"/>
      <c r="H42" s="1105"/>
      <c r="I42" s="1107"/>
      <c r="J42" s="1023"/>
      <c r="K42" s="1100" t="s">
        <v>497</v>
      </c>
      <c r="L42" s="1035">
        <f>L40*F42</f>
        <v>0</v>
      </c>
    </row>
    <row r="43" spans="1:12" x14ac:dyDescent="0.2">
      <c r="A43" s="930"/>
      <c r="B43" s="930"/>
      <c r="C43" s="930"/>
      <c r="D43" s="930"/>
      <c r="E43" s="930"/>
      <c r="F43" s="930"/>
      <c r="G43" s="930"/>
      <c r="H43" s="930"/>
      <c r="I43" s="930"/>
      <c r="J43" s="1023"/>
      <c r="K43" s="1023"/>
      <c r="L43" s="1099"/>
    </row>
    <row r="44" spans="1:12" x14ac:dyDescent="0.2">
      <c r="A44" s="1462" t="s">
        <v>498</v>
      </c>
      <c r="B44" s="1462"/>
      <c r="C44" s="1462"/>
      <c r="D44" s="1462"/>
      <c r="E44" s="1462"/>
      <c r="F44" s="1462"/>
      <c r="G44" s="1462"/>
      <c r="H44" s="1462"/>
      <c r="I44" s="1456" t="s">
        <v>499</v>
      </c>
      <c r="J44" s="1456"/>
      <c r="K44" s="1456"/>
      <c r="L44" s="1108">
        <f>ROUND(SUM(L40:L43),4)</f>
        <v>0.2041</v>
      </c>
    </row>
    <row r="45" spans="1:12" x14ac:dyDescent="0.2">
      <c r="A45" s="910"/>
      <c r="B45" s="910"/>
      <c r="C45" s="910"/>
      <c r="D45" s="910"/>
      <c r="E45" s="910"/>
      <c r="F45" s="910"/>
      <c r="G45" s="1109"/>
      <c r="H45" s="1109"/>
      <c r="I45" s="933"/>
      <c r="J45" s="933"/>
      <c r="K45" s="933"/>
      <c r="L45" s="910"/>
    </row>
    <row r="46" spans="1:12" x14ac:dyDescent="0.2">
      <c r="A46" s="1462" t="s">
        <v>500</v>
      </c>
      <c r="B46" s="1462"/>
      <c r="C46" s="1462"/>
      <c r="D46" s="1462"/>
      <c r="E46" s="1462"/>
      <c r="F46" s="1462"/>
      <c r="G46" s="1462"/>
      <c r="H46" s="1460" t="s">
        <v>166</v>
      </c>
      <c r="I46" s="1460"/>
      <c r="J46" s="1460" t="s">
        <v>165</v>
      </c>
      <c r="K46" s="1076" t="s">
        <v>501</v>
      </c>
      <c r="L46" s="1076" t="s">
        <v>484</v>
      </c>
    </row>
    <row r="47" spans="1:12" x14ac:dyDescent="0.2">
      <c r="A47" s="1462"/>
      <c r="B47" s="1462"/>
      <c r="C47" s="1462"/>
      <c r="D47" s="1462"/>
      <c r="E47" s="1462"/>
      <c r="F47" s="1462"/>
      <c r="G47" s="1462"/>
      <c r="H47" s="1460"/>
      <c r="I47" s="1460"/>
      <c r="J47" s="1460"/>
      <c r="K47" s="1110" t="s">
        <v>451</v>
      </c>
      <c r="L47" s="1026" t="s">
        <v>451</v>
      </c>
    </row>
    <row r="48" spans="1:12" x14ac:dyDescent="0.2">
      <c r="A48" s="1244"/>
      <c r="B48" s="942"/>
      <c r="C48" s="979"/>
      <c r="D48" s="942"/>
      <c r="E48" s="942"/>
      <c r="F48" s="942"/>
      <c r="G48" s="937"/>
      <c r="H48" s="1521"/>
      <c r="I48" s="1521"/>
      <c r="J48" s="1113"/>
      <c r="K48" s="1020"/>
      <c r="L48" s="1245">
        <f>H48*K48</f>
        <v>0</v>
      </c>
    </row>
    <row r="49" spans="1:12" x14ac:dyDescent="0.2">
      <c r="A49" s="1114"/>
      <c r="B49" s="979"/>
      <c r="C49" s="979"/>
      <c r="D49" s="942"/>
      <c r="E49" s="942"/>
      <c r="F49" s="942"/>
      <c r="G49" s="937"/>
      <c r="H49" s="1495"/>
      <c r="I49" s="1495"/>
      <c r="J49" s="1113"/>
      <c r="K49" s="1020"/>
      <c r="L49" s="1138">
        <f>H49*K49</f>
        <v>0</v>
      </c>
    </row>
    <row r="50" spans="1:12" x14ac:dyDescent="0.2">
      <c r="A50" s="1114"/>
      <c r="B50" s="979"/>
      <c r="C50" s="979"/>
      <c r="D50" s="942"/>
      <c r="E50" s="942"/>
      <c r="F50" s="942"/>
      <c r="G50" s="937"/>
      <c r="H50" s="1495"/>
      <c r="I50" s="1495"/>
      <c r="J50" s="1113"/>
      <c r="K50" s="1020"/>
      <c r="L50" s="1138">
        <f>H50*K50</f>
        <v>0</v>
      </c>
    </row>
    <row r="51" spans="1:12" x14ac:dyDescent="0.2">
      <c r="A51" s="1114"/>
      <c r="B51" s="979"/>
      <c r="C51" s="979">
        <f>-C49</f>
        <v>0</v>
      </c>
      <c r="D51" s="942"/>
      <c r="E51" s="942"/>
      <c r="F51" s="942"/>
      <c r="G51" s="937"/>
      <c r="H51" s="1495"/>
      <c r="I51" s="1495"/>
      <c r="J51" s="1113"/>
      <c r="K51" s="1020"/>
      <c r="L51" s="1138">
        <f>H51*K51</f>
        <v>0</v>
      </c>
    </row>
    <row r="52" spans="1:12" x14ac:dyDescent="0.2">
      <c r="A52" s="1114"/>
      <c r="B52" s="979"/>
      <c r="C52" s="979"/>
      <c r="D52" s="1083"/>
      <c r="E52" s="1083"/>
      <c r="F52" s="1083"/>
      <c r="G52" s="1115"/>
      <c r="H52" s="1512"/>
      <c r="I52" s="1512"/>
      <c r="J52" s="1113"/>
      <c r="K52" s="1020"/>
      <c r="L52" s="1246">
        <f>H52*K52</f>
        <v>0</v>
      </c>
    </row>
    <row r="53" spans="1:12" x14ac:dyDescent="0.2">
      <c r="A53" s="1454" t="s">
        <v>502</v>
      </c>
      <c r="B53" s="1454"/>
      <c r="C53" s="1454"/>
      <c r="D53" s="1454"/>
      <c r="E53" s="1454"/>
      <c r="F53" s="1454"/>
      <c r="G53" s="1454"/>
      <c r="H53" s="1454"/>
      <c r="I53" s="1454"/>
      <c r="J53" s="1454"/>
      <c r="K53" s="1454"/>
      <c r="L53" s="1108">
        <f>ROUND(SUM(L48:L52),4)</f>
        <v>0</v>
      </c>
    </row>
    <row r="54" spans="1:12" x14ac:dyDescent="0.2">
      <c r="A54" s="932"/>
      <c r="B54" s="932"/>
      <c r="C54" s="932"/>
      <c r="D54" s="932"/>
      <c r="E54" s="932"/>
      <c r="F54" s="932"/>
      <c r="G54" s="932"/>
      <c r="H54" s="932"/>
      <c r="I54" s="932"/>
      <c r="J54" s="910"/>
      <c r="K54" s="1117"/>
      <c r="L54" s="1118"/>
    </row>
    <row r="55" spans="1:12" ht="13.9" customHeight="1" x14ac:dyDescent="0.2">
      <c r="A55" s="1462" t="s">
        <v>503</v>
      </c>
      <c r="B55" s="1462"/>
      <c r="C55" s="1462"/>
      <c r="D55" s="1462"/>
      <c r="E55" s="1462"/>
      <c r="F55" s="1462"/>
      <c r="G55" s="1452" t="s">
        <v>504</v>
      </c>
      <c r="H55" s="1460" t="s">
        <v>505</v>
      </c>
      <c r="I55" s="1460"/>
      <c r="J55" s="1460"/>
      <c r="K55" s="1460"/>
      <c r="L55" s="1460" t="s">
        <v>506</v>
      </c>
    </row>
    <row r="56" spans="1:12" x14ac:dyDescent="0.2">
      <c r="A56" s="1462"/>
      <c r="B56" s="1462"/>
      <c r="C56" s="1462"/>
      <c r="D56" s="1462"/>
      <c r="E56" s="1462"/>
      <c r="F56" s="1462"/>
      <c r="G56" s="1452"/>
      <c r="H56" s="944" t="s">
        <v>112</v>
      </c>
      <c r="I56" s="1095" t="s">
        <v>380</v>
      </c>
      <c r="J56" s="1026" t="s">
        <v>383</v>
      </c>
      <c r="K56" s="1110" t="s">
        <v>385</v>
      </c>
      <c r="L56" s="1460"/>
    </row>
    <row r="57" spans="1:12" x14ac:dyDescent="0.2">
      <c r="A57" s="1462"/>
      <c r="B57" s="1462"/>
      <c r="C57" s="1462"/>
      <c r="D57" s="1462"/>
      <c r="E57" s="1462"/>
      <c r="F57" s="1462"/>
      <c r="G57" s="1452"/>
      <c r="H57" s="943" t="s">
        <v>507</v>
      </c>
      <c r="I57" s="1119"/>
      <c r="J57" s="1119"/>
      <c r="K57" s="1119"/>
      <c r="L57" s="1460"/>
    </row>
    <row r="58" spans="1:12" x14ac:dyDescent="0.2">
      <c r="A58" s="1488"/>
      <c r="B58" s="1489"/>
      <c r="C58" s="1490"/>
      <c r="D58" s="1502"/>
      <c r="E58" s="1502"/>
      <c r="F58" s="1503"/>
      <c r="G58" s="1493">
        <f>ROUND(H48/1000,5)</f>
        <v>0</v>
      </c>
      <c r="H58" s="1120" t="s">
        <v>508</v>
      </c>
      <c r="I58" s="1121"/>
      <c r="J58" s="1121"/>
      <c r="K58" s="1121"/>
      <c r="L58" s="1494">
        <f>G58*($I$57*I59+$J$57*J59+$K$57*K59)</f>
        <v>0</v>
      </c>
    </row>
    <row r="59" spans="1:12" x14ac:dyDescent="0.2">
      <c r="A59" s="1488"/>
      <c r="B59" s="1489"/>
      <c r="C59" s="1490"/>
      <c r="D59" s="1502"/>
      <c r="E59" s="1502"/>
      <c r="F59" s="1503"/>
      <c r="G59" s="1493"/>
      <c r="H59" s="1122" t="s">
        <v>509</v>
      </c>
      <c r="I59" s="1123"/>
      <c r="J59" s="1123"/>
      <c r="K59" s="1123"/>
      <c r="L59" s="1494"/>
    </row>
    <row r="60" spans="1:12" x14ac:dyDescent="0.2">
      <c r="A60" s="1043"/>
      <c r="B60" s="958"/>
      <c r="C60" s="979"/>
      <c r="D60" s="1151"/>
      <c r="E60" s="1151"/>
      <c r="F60" s="1141"/>
      <c r="G60" s="1112"/>
      <c r="H60" s="1235"/>
      <c r="I60" s="1236"/>
      <c r="J60" s="961"/>
      <c r="K60" s="1116"/>
      <c r="L60" s="986"/>
    </row>
    <row r="61" spans="1:12" x14ac:dyDescent="0.2">
      <c r="A61" s="1114"/>
      <c r="B61" s="979"/>
      <c r="C61" s="979"/>
      <c r="D61" s="1083"/>
      <c r="E61" s="1083"/>
      <c r="F61" s="1083"/>
      <c r="G61" s="1135"/>
      <c r="H61" s="1247"/>
      <c r="I61" s="1247"/>
      <c r="J61" s="1137"/>
      <c r="K61" s="1044"/>
      <c r="L61" s="1138">
        <f>G61*H61*K61</f>
        <v>0</v>
      </c>
    </row>
    <row r="62" spans="1:12" x14ac:dyDescent="0.2">
      <c r="A62" s="1454" t="s">
        <v>510</v>
      </c>
      <c r="B62" s="1454"/>
      <c r="C62" s="1454"/>
      <c r="D62" s="1454"/>
      <c r="E62" s="1454"/>
      <c r="F62" s="1454"/>
      <c r="G62" s="1454"/>
      <c r="H62" s="1454"/>
      <c r="I62" s="1454"/>
      <c r="J62" s="1454"/>
      <c r="K62" s="1454"/>
      <c r="L62" s="1025">
        <f>ROUND(SUM(L58:L61),4)</f>
        <v>0</v>
      </c>
    </row>
    <row r="63" spans="1:12" x14ac:dyDescent="0.2">
      <c r="A63" s="1049"/>
      <c r="B63" s="1049"/>
      <c r="C63" s="1049"/>
      <c r="D63" s="1049"/>
      <c r="E63" s="1049"/>
      <c r="F63" s="1049"/>
      <c r="G63" s="932"/>
      <c r="H63" s="1050"/>
      <c r="I63" s="1050"/>
      <c r="J63" s="1051"/>
      <c r="K63" s="1052"/>
      <c r="L63" s="1053"/>
    </row>
    <row r="64" spans="1:12" x14ac:dyDescent="0.2">
      <c r="A64" s="1454" t="s">
        <v>460</v>
      </c>
      <c r="B64" s="1454"/>
      <c r="C64" s="1454"/>
      <c r="D64" s="1454"/>
      <c r="E64" s="1454"/>
      <c r="F64" s="1454"/>
      <c r="G64" s="1454"/>
      <c r="H64" s="1454"/>
      <c r="I64" s="1454"/>
      <c r="J64" s="1454"/>
      <c r="K64" s="1454"/>
      <c r="L64" s="1025">
        <f>ROUND(L44+L53+L62,4)</f>
        <v>0.2041</v>
      </c>
    </row>
    <row r="65" spans="1:12" x14ac:dyDescent="0.2">
      <c r="A65" s="1455" t="s">
        <v>461</v>
      </c>
      <c r="B65" s="1455"/>
      <c r="C65" s="1455"/>
      <c r="D65" s="1455"/>
      <c r="E65" s="1455"/>
      <c r="F65" s="1455"/>
      <c r="G65" s="1455"/>
      <c r="H65" s="1455"/>
      <c r="I65" s="1455"/>
      <c r="J65" s="1455"/>
      <c r="K65" s="1055">
        <v>0.25569999999999998</v>
      </c>
      <c r="L65" s="1056">
        <f>ROUND(L64*K65,4)</f>
        <v>5.2200000000000003E-2</v>
      </c>
    </row>
    <row r="66" spans="1:12" x14ac:dyDescent="0.2">
      <c r="A66" s="1456" t="s">
        <v>462</v>
      </c>
      <c r="B66" s="1456"/>
      <c r="C66" s="1456"/>
      <c r="D66" s="1456"/>
      <c r="E66" s="1456"/>
      <c r="F66" s="1456"/>
      <c r="G66" s="1456"/>
      <c r="H66" s="1456"/>
      <c r="I66" s="1456"/>
      <c r="J66" s="1456"/>
      <c r="K66" s="1456"/>
      <c r="L66" s="1126">
        <f>ROUND(L64+L65,2)</f>
        <v>0.26</v>
      </c>
    </row>
    <row r="67" spans="1:12" x14ac:dyDescent="0.2">
      <c r="A67" s="1058"/>
      <c r="B67" s="1058"/>
      <c r="C67" s="1058"/>
      <c r="D67" s="1058"/>
      <c r="E67" s="1058"/>
      <c r="F67" s="1058"/>
      <c r="G67" s="1058"/>
      <c r="H67" s="1058"/>
      <c r="I67" s="1058"/>
      <c r="J67" s="1058"/>
      <c r="K67" s="1058"/>
      <c r="L67" s="1058"/>
    </row>
    <row r="68" spans="1:12" ht="26.25" customHeight="1" x14ac:dyDescent="0.2">
      <c r="A68" s="1059" t="s">
        <v>463</v>
      </c>
      <c r="B68" s="1060"/>
      <c r="C68" s="1518" t="s">
        <v>578</v>
      </c>
      <c r="D68" s="1518"/>
      <c r="E68" s="1518"/>
      <c r="F68" s="1518"/>
      <c r="G68" s="1518"/>
      <c r="H68" s="1518"/>
      <c r="I68" s="1518"/>
      <c r="J68" s="1518"/>
      <c r="K68" s="1518"/>
      <c r="L68" s="1518"/>
    </row>
    <row r="69" spans="1:12" ht="13.9" customHeight="1" x14ac:dyDescent="0.2">
      <c r="A69" s="1210"/>
      <c r="B69" s="1184"/>
      <c r="C69" s="1506" t="s">
        <v>575</v>
      </c>
      <c r="D69" s="1506"/>
      <c r="E69" s="1506"/>
      <c r="F69" s="1506"/>
      <c r="G69" s="1506"/>
      <c r="H69" s="1506"/>
      <c r="I69" s="1506"/>
      <c r="J69" s="1506"/>
      <c r="K69" s="1506"/>
      <c r="L69" s="1506"/>
    </row>
    <row r="70" spans="1:12" x14ac:dyDescent="0.2">
      <c r="A70" s="1248"/>
      <c r="B70" s="1249"/>
      <c r="C70" s="1249"/>
      <c r="D70" s="1249"/>
      <c r="E70" s="1249"/>
      <c r="F70" s="1249"/>
      <c r="G70" s="1249"/>
      <c r="H70" s="1249"/>
      <c r="I70" s="1249"/>
      <c r="J70" s="1249"/>
      <c r="K70" s="1249"/>
      <c r="L70" s="1250"/>
    </row>
    <row r="71" spans="1:12" x14ac:dyDescent="0.2">
      <c r="A71" s="1251"/>
      <c r="B71" s="1073"/>
      <c r="C71" s="1073"/>
      <c r="D71" s="1073"/>
      <c r="E71" s="1073"/>
      <c r="F71" s="1073"/>
      <c r="G71" s="1073"/>
      <c r="H71" s="1073"/>
      <c r="I71" s="1073"/>
      <c r="J71" s="1073"/>
      <c r="K71" s="1073"/>
      <c r="L71" s="1074"/>
    </row>
  </sheetData>
  <mergeCells count="50">
    <mergeCell ref="A1:L1"/>
    <mergeCell ref="A2:L2"/>
    <mergeCell ref="A3:L3"/>
    <mergeCell ref="A4:L4"/>
    <mergeCell ref="A5:K5"/>
    <mergeCell ref="A6:K6"/>
    <mergeCell ref="A7:K7"/>
    <mergeCell ref="L7:L8"/>
    <mergeCell ref="A10:L10"/>
    <mergeCell ref="A12:D12"/>
    <mergeCell ref="A15:L16"/>
    <mergeCell ref="E18:J18"/>
    <mergeCell ref="A20:F21"/>
    <mergeCell ref="G20:G21"/>
    <mergeCell ref="H20:I20"/>
    <mergeCell ref="J20:K20"/>
    <mergeCell ref="D22:F22"/>
    <mergeCell ref="A29:K29"/>
    <mergeCell ref="A31:I32"/>
    <mergeCell ref="J31:J32"/>
    <mergeCell ref="K31:K32"/>
    <mergeCell ref="D33:I33"/>
    <mergeCell ref="A44:H44"/>
    <mergeCell ref="I44:K44"/>
    <mergeCell ref="A46:G47"/>
    <mergeCell ref="H46:I47"/>
    <mergeCell ref="J46:J47"/>
    <mergeCell ref="H48:I48"/>
    <mergeCell ref="H49:I49"/>
    <mergeCell ref="H50:I50"/>
    <mergeCell ref="H51:I51"/>
    <mergeCell ref="H52:I52"/>
    <mergeCell ref="A53:K53"/>
    <mergeCell ref="A55:F57"/>
    <mergeCell ref="G55:G57"/>
    <mergeCell ref="H55:K55"/>
    <mergeCell ref="L55:L57"/>
    <mergeCell ref="A66:K66"/>
    <mergeCell ref="C68:L68"/>
    <mergeCell ref="C69:L69"/>
    <mergeCell ref="G58:G59"/>
    <mergeCell ref="L58:L59"/>
    <mergeCell ref="A62:K62"/>
    <mergeCell ref="A64:K64"/>
    <mergeCell ref="A65:J65"/>
    <mergeCell ref="A58:A59"/>
    <mergeCell ref="B58:B59"/>
    <mergeCell ref="C58:C59"/>
    <mergeCell ref="D58:E59"/>
    <mergeCell ref="F58:F59"/>
  </mergeCells>
  <dataValidations count="1">
    <dataValidation allowBlank="1" showInputMessage="1" showErrorMessage="1" prompt="Clique duas vezes sobre o número do item para ser direcionado à Planilha Orçamentária." sqref="D18" xr:uid="{00000000-0002-0000-0E00-000000000000}">
      <formula1>0</formula1>
      <formula2>0</formula2>
    </dataValidation>
  </dataValidations>
  <printOptions horizontalCentered="1" verticalCentered="1"/>
  <pageMargins left="0.51180555555555496" right="0.51180555555555496" top="0.78749999999999998" bottom="0.78749999999999998" header="0.51180555555555496" footer="0.51180555555555496"/>
  <pageSetup paperSize="9" scale="70" firstPageNumber="0"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71"/>
  <sheetViews>
    <sheetView topLeftCell="A61" zoomScale="83" zoomScaleNormal="83" workbookViewId="0">
      <selection activeCell="P139" sqref="P139"/>
    </sheetView>
  </sheetViews>
  <sheetFormatPr defaultRowHeight="15" x14ac:dyDescent="0.2"/>
  <cols>
    <col min="1" max="2" width="7.6640625" style="902" customWidth="1"/>
    <col min="3" max="3" width="1.4765625" style="902" customWidth="1"/>
    <col min="4" max="4" width="3.765625" style="902" customWidth="1"/>
    <col min="5" max="5" width="23.67578125" style="902" customWidth="1"/>
    <col min="6" max="6" width="12.64453125" style="902" customWidth="1"/>
    <col min="7" max="7" width="8.7421875" style="902" customWidth="1"/>
    <col min="8" max="8" width="9.55078125" style="902" customWidth="1"/>
    <col min="9" max="11" width="8.7421875" style="902" customWidth="1"/>
    <col min="12" max="12" width="10.76171875" style="902" customWidth="1"/>
    <col min="13" max="1025" width="8.7421875" customWidth="1"/>
  </cols>
  <sheetData>
    <row r="1" spans="1:12" x14ac:dyDescent="0.2">
      <c r="A1" s="1474"/>
      <c r="B1" s="1474"/>
      <c r="C1" s="1474"/>
      <c r="D1" s="1474"/>
      <c r="E1" s="1474"/>
      <c r="F1" s="1474"/>
      <c r="G1" s="1474"/>
      <c r="H1" s="1474"/>
      <c r="I1" s="1474"/>
      <c r="J1" s="1474"/>
      <c r="K1" s="1474"/>
      <c r="L1" s="1474"/>
    </row>
    <row r="2" spans="1:12" x14ac:dyDescent="0.2">
      <c r="A2" s="1475" t="s">
        <v>629</v>
      </c>
      <c r="B2" s="1475"/>
      <c r="C2" s="1475"/>
      <c r="D2" s="1475"/>
      <c r="E2" s="1475"/>
      <c r="F2" s="1475"/>
      <c r="G2" s="1475"/>
      <c r="H2" s="1475"/>
      <c r="I2" s="1475"/>
      <c r="J2" s="1475"/>
      <c r="K2" s="1475"/>
      <c r="L2" s="1475"/>
    </row>
    <row r="3" spans="1:12" x14ac:dyDescent="0.2">
      <c r="A3" s="1474"/>
      <c r="B3" s="1474"/>
      <c r="C3" s="1474"/>
      <c r="D3" s="1474"/>
      <c r="E3" s="1474"/>
      <c r="F3" s="1474"/>
      <c r="G3" s="1474"/>
      <c r="H3" s="1474"/>
      <c r="I3" s="1474"/>
      <c r="J3" s="1474"/>
      <c r="K3" s="1474"/>
      <c r="L3" s="1474"/>
    </row>
    <row r="4" spans="1:12" x14ac:dyDescent="0.2">
      <c r="A4" s="1476"/>
      <c r="B4" s="1476"/>
      <c r="C4" s="1476"/>
      <c r="D4" s="1476"/>
      <c r="E4" s="1476"/>
      <c r="F4" s="1476"/>
      <c r="G4" s="1476"/>
      <c r="H4" s="1476"/>
      <c r="I4" s="1476"/>
      <c r="J4" s="1476"/>
      <c r="K4" s="1476"/>
      <c r="L4" s="1476"/>
    </row>
    <row r="5" spans="1:12" x14ac:dyDescent="0.2">
      <c r="A5" s="1477"/>
      <c r="B5" s="1477"/>
      <c r="C5" s="1477"/>
      <c r="D5" s="1477"/>
      <c r="E5" s="1477"/>
      <c r="F5" s="1477"/>
      <c r="G5" s="1477"/>
      <c r="H5" s="1477"/>
      <c r="I5" s="1477"/>
      <c r="J5" s="1477"/>
      <c r="K5" s="1477"/>
      <c r="L5" s="903" t="s">
        <v>419</v>
      </c>
    </row>
    <row r="6" spans="1:12" x14ac:dyDescent="0.2">
      <c r="A6" s="1469"/>
      <c r="B6" s="1469"/>
      <c r="C6" s="1469"/>
      <c r="D6" s="1469"/>
      <c r="E6" s="1469"/>
      <c r="F6" s="1469"/>
      <c r="G6" s="1469"/>
      <c r="H6" s="1469"/>
      <c r="I6" s="1469"/>
      <c r="J6" s="1469"/>
      <c r="K6" s="1469"/>
      <c r="L6" s="1075"/>
    </row>
    <row r="7" spans="1:12" ht="13.9" customHeight="1" x14ac:dyDescent="0.2">
      <c r="A7" s="1469"/>
      <c r="B7" s="1469"/>
      <c r="C7" s="1469"/>
      <c r="D7" s="1469"/>
      <c r="E7" s="1469"/>
      <c r="F7" s="1469"/>
      <c r="G7" s="1469"/>
      <c r="H7" s="1469"/>
      <c r="I7" s="1469"/>
      <c r="J7" s="1469"/>
      <c r="K7" s="1469"/>
      <c r="L7" s="1470" t="s">
        <v>579</v>
      </c>
    </row>
    <row r="8" spans="1:12" x14ac:dyDescent="0.2">
      <c r="A8" s="904"/>
      <c r="B8" s="905"/>
      <c r="C8" s="906"/>
      <c r="D8" s="907"/>
      <c r="E8" s="908"/>
      <c r="F8" s="906"/>
      <c r="G8" s="906"/>
      <c r="H8" s="906"/>
      <c r="I8" s="906"/>
      <c r="J8" s="906"/>
      <c r="K8" s="909"/>
      <c r="L8" s="1470"/>
    </row>
    <row r="9" spans="1:12" x14ac:dyDescent="0.2">
      <c r="A9" s="910"/>
      <c r="B9" s="910"/>
      <c r="C9" s="911"/>
      <c r="D9" s="912"/>
      <c r="E9" s="912"/>
      <c r="F9" s="913"/>
      <c r="G9" s="913"/>
      <c r="H9" s="913"/>
      <c r="I9" s="913"/>
      <c r="J9" s="913"/>
      <c r="K9" s="913"/>
      <c r="L9" s="914"/>
    </row>
    <row r="10" spans="1:12" x14ac:dyDescent="0.2">
      <c r="A10" s="1471"/>
      <c r="B10" s="1471"/>
      <c r="C10" s="1471"/>
      <c r="D10" s="1471"/>
      <c r="E10" s="1471"/>
      <c r="F10" s="1471"/>
      <c r="G10" s="1471"/>
      <c r="H10" s="1471"/>
      <c r="I10" s="1471"/>
      <c r="J10" s="1471"/>
      <c r="K10" s="1471"/>
      <c r="L10" s="1471"/>
    </row>
    <row r="11" spans="1:12" x14ac:dyDescent="0.2">
      <c r="A11" s="915"/>
      <c r="B11" s="912"/>
      <c r="C11" s="911"/>
      <c r="D11" s="912"/>
      <c r="E11" s="911"/>
      <c r="F11" s="911"/>
      <c r="G11" s="911"/>
      <c r="H11" s="911"/>
      <c r="I11" s="911"/>
      <c r="J11" s="911"/>
      <c r="K11" s="911"/>
      <c r="L11" s="916"/>
    </row>
    <row r="12" spans="1:12" x14ac:dyDescent="0.2">
      <c r="A12" s="1472" t="s">
        <v>421</v>
      </c>
      <c r="B12" s="1472"/>
      <c r="C12" s="1472"/>
      <c r="D12" s="1472"/>
      <c r="E12" s="917" t="s">
        <v>648</v>
      </c>
      <c r="F12" s="918"/>
      <c r="G12" s="918"/>
      <c r="H12" s="918"/>
      <c r="I12" s="918"/>
      <c r="J12" s="918"/>
      <c r="K12" s="918"/>
      <c r="L12" s="919"/>
    </row>
    <row r="13" spans="1:12" x14ac:dyDescent="0.2">
      <c r="A13" s="920"/>
      <c r="B13" s="907"/>
      <c r="C13" s="921"/>
      <c r="D13" s="907"/>
      <c r="E13" s="907"/>
      <c r="F13" s="906"/>
      <c r="G13" s="906"/>
      <c r="H13" s="906"/>
      <c r="I13" s="906"/>
      <c r="J13" s="906"/>
      <c r="K13" s="906"/>
      <c r="L13" s="922"/>
    </row>
    <row r="14" spans="1:12" x14ac:dyDescent="0.2">
      <c r="A14" s="913"/>
      <c r="B14" s="913"/>
      <c r="C14" s="913"/>
      <c r="D14" s="913"/>
      <c r="E14" s="913"/>
      <c r="F14" s="913"/>
      <c r="G14" s="913"/>
      <c r="H14" s="913"/>
      <c r="I14" s="913"/>
      <c r="J14" s="913"/>
      <c r="K14" s="913"/>
      <c r="L14" s="914"/>
    </row>
    <row r="15" spans="1:12" x14ac:dyDescent="0.2">
      <c r="A15" s="1473" t="s">
        <v>422</v>
      </c>
      <c r="B15" s="1473"/>
      <c r="C15" s="1473"/>
      <c r="D15" s="1473"/>
      <c r="E15" s="1473"/>
      <c r="F15" s="1473"/>
      <c r="G15" s="1473"/>
      <c r="H15" s="1473"/>
      <c r="I15" s="1473"/>
      <c r="J15" s="1473"/>
      <c r="K15" s="1473"/>
      <c r="L15" s="1473"/>
    </row>
    <row r="16" spans="1:12" x14ac:dyDescent="0.2">
      <c r="A16" s="1473"/>
      <c r="B16" s="1473"/>
      <c r="C16" s="1473"/>
      <c r="D16" s="1473"/>
      <c r="E16" s="1473"/>
      <c r="F16" s="1473"/>
      <c r="G16" s="1473"/>
      <c r="H16" s="1473"/>
      <c r="I16" s="1473"/>
      <c r="J16" s="1473"/>
      <c r="K16" s="1473"/>
      <c r="L16" s="1473"/>
    </row>
    <row r="17" spans="1:12" x14ac:dyDescent="0.2">
      <c r="A17" s="923"/>
      <c r="B17" s="923"/>
      <c r="C17" s="923"/>
      <c r="D17" s="923"/>
      <c r="E17" s="923"/>
      <c r="F17" s="923"/>
      <c r="G17" s="923"/>
      <c r="H17" s="923"/>
      <c r="I17" s="923"/>
      <c r="J17" s="923"/>
      <c r="K17" s="923"/>
      <c r="L17" s="923"/>
    </row>
    <row r="18" spans="1:12" ht="24" customHeight="1" x14ac:dyDescent="0.2">
      <c r="A18" s="924" t="s">
        <v>423</v>
      </c>
      <c r="B18" s="925"/>
      <c r="C18" s="925"/>
      <c r="D18" s="926" t="s">
        <v>579</v>
      </c>
      <c r="E18" s="1498" t="s">
        <v>580</v>
      </c>
      <c r="F18" s="1498"/>
      <c r="G18" s="1498"/>
      <c r="H18" s="1498"/>
      <c r="I18" s="1498"/>
      <c r="J18" s="1498"/>
      <c r="K18" s="928" t="s">
        <v>425</v>
      </c>
      <c r="L18" s="929" t="s">
        <v>581</v>
      </c>
    </row>
    <row r="19" spans="1:12" x14ac:dyDescent="0.2">
      <c r="A19" s="910"/>
      <c r="B19" s="910"/>
      <c r="C19" s="910"/>
      <c r="D19" s="910"/>
      <c r="E19" s="910"/>
      <c r="F19" s="910"/>
      <c r="G19" s="910"/>
      <c r="H19" s="910"/>
      <c r="I19" s="910"/>
      <c r="J19" s="910"/>
      <c r="K19" s="910"/>
      <c r="L19" s="910"/>
    </row>
    <row r="20" spans="1:12" x14ac:dyDescent="0.2">
      <c r="A20" s="1462" t="s">
        <v>434</v>
      </c>
      <c r="B20" s="1462"/>
      <c r="C20" s="1462"/>
      <c r="D20" s="1462"/>
      <c r="E20" s="1462"/>
      <c r="F20" s="1462"/>
      <c r="G20" s="1460" t="s">
        <v>166</v>
      </c>
      <c r="H20" s="1460" t="s">
        <v>362</v>
      </c>
      <c r="I20" s="1460"/>
      <c r="J20" s="1500" t="s">
        <v>483</v>
      </c>
      <c r="K20" s="1500"/>
      <c r="L20" s="1076" t="s">
        <v>484</v>
      </c>
    </row>
    <row r="21" spans="1:12" x14ac:dyDescent="0.2">
      <c r="A21" s="1462"/>
      <c r="B21" s="1462"/>
      <c r="C21" s="1462"/>
      <c r="D21" s="1462"/>
      <c r="E21" s="1462"/>
      <c r="F21" s="1462"/>
      <c r="G21" s="1460"/>
      <c r="H21" s="943" t="s">
        <v>485</v>
      </c>
      <c r="I21" s="1077" t="s">
        <v>486</v>
      </c>
      <c r="J21" s="943" t="s">
        <v>485</v>
      </c>
      <c r="K21" s="1077" t="s">
        <v>486</v>
      </c>
      <c r="L21" s="1026" t="s">
        <v>487</v>
      </c>
    </row>
    <row r="22" spans="1:12" ht="19.5" customHeight="1" x14ac:dyDescent="0.2">
      <c r="A22" s="1078" t="s">
        <v>379</v>
      </c>
      <c r="B22" s="1130" t="s">
        <v>665</v>
      </c>
      <c r="C22" s="979" t="s">
        <v>442</v>
      </c>
      <c r="D22" s="1520" t="s">
        <v>666</v>
      </c>
      <c r="E22" s="1520"/>
      <c r="F22" s="1520"/>
      <c r="G22" s="1205">
        <v>1</v>
      </c>
      <c r="H22" s="1116">
        <v>1</v>
      </c>
      <c r="I22" s="961">
        <v>0</v>
      </c>
      <c r="J22" s="986">
        <v>199.35740000000001</v>
      </c>
      <c r="K22" s="986">
        <v>80.469300000000004</v>
      </c>
      <c r="L22" s="986">
        <f>(G22*H22*J22)+(G22*I22*K22)</f>
        <v>199.35740000000001</v>
      </c>
    </row>
    <row r="23" spans="1:12" x14ac:dyDescent="0.2">
      <c r="A23" s="1043"/>
      <c r="B23" s="1130"/>
      <c r="C23" s="979"/>
      <c r="D23" s="1525"/>
      <c r="E23" s="1525"/>
      <c r="F23" s="1525"/>
      <c r="G23" s="1112"/>
      <c r="H23" s="1116"/>
      <c r="I23" s="961"/>
      <c r="J23" s="1081"/>
      <c r="K23" s="1081"/>
      <c r="L23" s="986">
        <f>(G23*H23*J23)+(G23*I23*K23)</f>
        <v>0</v>
      </c>
    </row>
    <row r="24" spans="1:12" x14ac:dyDescent="0.2">
      <c r="A24" s="1153"/>
      <c r="B24" s="942"/>
      <c r="C24" s="979"/>
      <c r="D24" s="942"/>
      <c r="E24" s="942"/>
      <c r="F24" s="942"/>
      <c r="G24" s="1112"/>
      <c r="H24" s="1116"/>
      <c r="I24" s="961"/>
      <c r="J24" s="1081"/>
      <c r="K24" s="1087"/>
      <c r="L24" s="986">
        <f>(G24*H24*J24)+(G24*I24*K24)</f>
        <v>0</v>
      </c>
    </row>
    <row r="25" spans="1:12" x14ac:dyDescent="0.2">
      <c r="A25" s="1153"/>
      <c r="B25" s="942"/>
      <c r="C25" s="979"/>
      <c r="D25" s="942"/>
      <c r="E25" s="942"/>
      <c r="F25" s="942"/>
      <c r="G25" s="1112"/>
      <c r="H25" s="1116"/>
      <c r="I25" s="961"/>
      <c r="J25" s="1081"/>
      <c r="K25" s="1087"/>
      <c r="L25" s="986">
        <f>(G25*H25*J25)+(G25*I25*K25)</f>
        <v>0</v>
      </c>
    </row>
    <row r="26" spans="1:12" x14ac:dyDescent="0.2">
      <c r="A26" s="1153"/>
      <c r="B26" s="942"/>
      <c r="C26" s="979"/>
      <c r="D26" s="942"/>
      <c r="E26" s="942"/>
      <c r="F26" s="942"/>
      <c r="G26" s="1112"/>
      <c r="H26" s="1116"/>
      <c r="I26" s="961"/>
      <c r="J26" s="1081"/>
      <c r="K26" s="1087"/>
      <c r="L26" s="986"/>
    </row>
    <row r="27" spans="1:12" x14ac:dyDescent="0.2">
      <c r="A27" s="1153"/>
      <c r="B27" s="942"/>
      <c r="C27" s="979"/>
      <c r="D27" s="942"/>
      <c r="E27" s="942"/>
      <c r="F27" s="942"/>
      <c r="G27" s="1112"/>
      <c r="H27" s="1116"/>
      <c r="I27" s="961"/>
      <c r="J27" s="1081"/>
      <c r="K27" s="1087"/>
      <c r="L27" s="986"/>
    </row>
    <row r="28" spans="1:12" x14ac:dyDescent="0.2">
      <c r="A28" s="1153"/>
      <c r="B28" s="942"/>
      <c r="C28" s="979"/>
      <c r="D28" s="942"/>
      <c r="E28" s="942"/>
      <c r="F28" s="942"/>
      <c r="G28" s="1096"/>
      <c r="H28" s="1116"/>
      <c r="I28" s="961"/>
      <c r="J28" s="1086"/>
      <c r="K28" s="1087"/>
      <c r="L28" s="986"/>
    </row>
    <row r="29" spans="1:12" x14ac:dyDescent="0.2">
      <c r="A29" s="1497" t="s">
        <v>488</v>
      </c>
      <c r="B29" s="1497"/>
      <c r="C29" s="1497"/>
      <c r="D29" s="1497"/>
      <c r="E29" s="1497"/>
      <c r="F29" s="1497"/>
      <c r="G29" s="1497"/>
      <c r="H29" s="1497"/>
      <c r="I29" s="1497"/>
      <c r="J29" s="1497"/>
      <c r="K29" s="1497"/>
      <c r="L29" s="1035">
        <f>ROUND(SUM(L22:L28),4)</f>
        <v>199.35740000000001</v>
      </c>
    </row>
    <row r="30" spans="1:12" x14ac:dyDescent="0.2">
      <c r="A30" s="930"/>
      <c r="B30" s="930"/>
      <c r="C30" s="930"/>
      <c r="D30" s="930"/>
      <c r="E30" s="930"/>
      <c r="F30" s="930"/>
      <c r="G30" s="930"/>
      <c r="H30" s="1023"/>
      <c r="I30" s="1023"/>
      <c r="J30" s="1023"/>
      <c r="K30" s="1023"/>
      <c r="L30" s="1023"/>
    </row>
    <row r="31" spans="1:12" ht="13.9" customHeight="1" x14ac:dyDescent="0.2">
      <c r="A31" s="1462" t="s">
        <v>447</v>
      </c>
      <c r="B31" s="1462"/>
      <c r="C31" s="1462"/>
      <c r="D31" s="1462"/>
      <c r="E31" s="1462"/>
      <c r="F31" s="1462"/>
      <c r="G31" s="1462"/>
      <c r="H31" s="1462"/>
      <c r="I31" s="1462"/>
      <c r="J31" s="1460" t="s">
        <v>166</v>
      </c>
      <c r="K31" s="1452" t="s">
        <v>489</v>
      </c>
      <c r="L31" s="1076" t="s">
        <v>449</v>
      </c>
    </row>
    <row r="32" spans="1:12" x14ac:dyDescent="0.2">
      <c r="A32" s="1462"/>
      <c r="B32" s="1462"/>
      <c r="C32" s="1462"/>
      <c r="D32" s="1462"/>
      <c r="E32" s="1462"/>
      <c r="F32" s="1462"/>
      <c r="G32" s="1462"/>
      <c r="H32" s="1462"/>
      <c r="I32" s="1462"/>
      <c r="J32" s="1460"/>
      <c r="K32" s="1452"/>
      <c r="L32" s="1026" t="s">
        <v>487</v>
      </c>
    </row>
    <row r="33" spans="1:12" x14ac:dyDescent="0.2">
      <c r="A33" s="1043" t="s">
        <v>379</v>
      </c>
      <c r="B33" s="1130" t="s">
        <v>713</v>
      </c>
      <c r="C33" s="979" t="s">
        <v>442</v>
      </c>
      <c r="D33" s="1525" t="s">
        <v>714</v>
      </c>
      <c r="E33" s="1525"/>
      <c r="F33" s="1525"/>
      <c r="G33" s="1525"/>
      <c r="H33" s="1525"/>
      <c r="I33" s="1525"/>
      <c r="J33" s="1080">
        <v>1</v>
      </c>
      <c r="K33" s="1020">
        <v>15.3812</v>
      </c>
      <c r="L33" s="1243">
        <f>J33*K33</f>
        <v>15.3812</v>
      </c>
    </row>
    <row r="34" spans="1:12" x14ac:dyDescent="0.2">
      <c r="A34" s="1153"/>
      <c r="B34" s="942"/>
      <c r="C34" s="979"/>
      <c r="D34" s="942"/>
      <c r="E34" s="942"/>
      <c r="F34" s="942"/>
      <c r="G34" s="910"/>
      <c r="H34" s="979"/>
      <c r="I34" s="1092"/>
      <c r="J34" s="1080"/>
      <c r="K34" s="1020"/>
      <c r="L34" s="1243">
        <f>J34*K34</f>
        <v>0</v>
      </c>
    </row>
    <row r="35" spans="1:12" x14ac:dyDescent="0.2">
      <c r="A35" s="1153"/>
      <c r="B35" s="942"/>
      <c r="C35" s="979"/>
      <c r="D35" s="942"/>
      <c r="E35" s="942"/>
      <c r="F35" s="942"/>
      <c r="G35" s="910"/>
      <c r="H35" s="979"/>
      <c r="I35" s="1092"/>
      <c r="J35" s="1080"/>
      <c r="K35" s="1020"/>
      <c r="L35" s="1243"/>
    </row>
    <row r="36" spans="1:12" x14ac:dyDescent="0.2">
      <c r="A36" s="1082"/>
      <c r="B36" s="1083"/>
      <c r="C36" s="1083"/>
      <c r="D36" s="1083"/>
      <c r="E36" s="1083"/>
      <c r="F36" s="1083"/>
      <c r="G36" s="905"/>
      <c r="H36" s="1077"/>
      <c r="I36" s="1095"/>
      <c r="J36" s="1085"/>
      <c r="K36" s="1020"/>
      <c r="L36" s="1243">
        <f>J36*K36</f>
        <v>0</v>
      </c>
    </row>
    <row r="37" spans="1:12" x14ac:dyDescent="0.2">
      <c r="A37" s="1497" t="s">
        <v>490</v>
      </c>
      <c r="B37" s="1497"/>
      <c r="C37" s="1497"/>
      <c r="D37" s="1497"/>
      <c r="E37" s="1497"/>
      <c r="F37" s="1497"/>
      <c r="G37" s="1497"/>
      <c r="H37" s="1497"/>
      <c r="I37" s="1497"/>
      <c r="J37" s="1497"/>
      <c r="K37" s="1497"/>
      <c r="L37" s="1035">
        <f>ROUND(SUM(L33:L36),4)</f>
        <v>15.3812</v>
      </c>
    </row>
    <row r="38" spans="1:12" x14ac:dyDescent="0.2">
      <c r="A38" s="930"/>
      <c r="B38" s="930"/>
      <c r="C38" s="930"/>
      <c r="D38" s="930"/>
      <c r="E38" s="930"/>
      <c r="F38" s="930"/>
      <c r="G38" s="930"/>
      <c r="H38" s="930"/>
      <c r="I38" s="930"/>
      <c r="J38" s="1023"/>
      <c r="K38" s="1023"/>
      <c r="L38" s="1023"/>
    </row>
    <row r="39" spans="1:12" x14ac:dyDescent="0.2">
      <c r="A39" s="930"/>
      <c r="B39" s="930"/>
      <c r="C39" s="930"/>
      <c r="D39" s="930"/>
      <c r="E39" s="930"/>
      <c r="F39" s="930"/>
      <c r="G39" s="930"/>
      <c r="H39" s="930"/>
      <c r="I39" s="930"/>
      <c r="J39" s="1023"/>
      <c r="K39" s="1100" t="s">
        <v>491</v>
      </c>
      <c r="L39" s="1101">
        <f>L29+L37</f>
        <v>214.73860000000002</v>
      </c>
    </row>
    <row r="40" spans="1:12" x14ac:dyDescent="0.2">
      <c r="A40" s="1102" t="s">
        <v>492</v>
      </c>
      <c r="B40" s="930"/>
      <c r="C40" s="930"/>
      <c r="D40" s="930"/>
      <c r="E40" s="1252" t="s">
        <v>582</v>
      </c>
      <c r="F40" s="1103">
        <f>286.85*0.6</f>
        <v>172.11</v>
      </c>
      <c r="G40" s="1104" t="str">
        <f>L18</f>
        <v>m³</v>
      </c>
      <c r="H40" s="1102"/>
      <c r="I40" s="930"/>
      <c r="J40" s="1105"/>
      <c r="K40" s="1106" t="s">
        <v>493</v>
      </c>
      <c r="L40" s="1035">
        <f>L39/F40</f>
        <v>1.2476822962059149</v>
      </c>
    </row>
    <row r="41" spans="1:12" x14ac:dyDescent="0.2">
      <c r="A41" s="1102"/>
      <c r="B41" s="930" t="s">
        <v>494</v>
      </c>
      <c r="C41" s="930"/>
      <c r="D41" s="930"/>
      <c r="E41" s="930"/>
      <c r="F41" s="1103">
        <v>4.8980000000000003E-2</v>
      </c>
      <c r="G41" s="1104"/>
      <c r="H41" s="1102"/>
      <c r="I41" s="930"/>
      <c r="J41" s="1105"/>
      <c r="K41" s="1100" t="s">
        <v>495</v>
      </c>
      <c r="L41" s="1035">
        <f>L40*F41</f>
        <v>6.1111478868165717E-2</v>
      </c>
    </row>
    <row r="42" spans="1:12" x14ac:dyDescent="0.2">
      <c r="A42" s="1102"/>
      <c r="B42" s="930" t="s">
        <v>496</v>
      </c>
      <c r="C42" s="930"/>
      <c r="D42" s="930"/>
      <c r="E42" s="930"/>
      <c r="F42" s="1202"/>
      <c r="G42" s="1104"/>
      <c r="H42" s="1105"/>
      <c r="I42" s="1107"/>
      <c r="J42" s="1023"/>
      <c r="K42" s="1100" t="s">
        <v>497</v>
      </c>
      <c r="L42" s="1035">
        <f>L40*F42</f>
        <v>0</v>
      </c>
    </row>
    <row r="43" spans="1:12" x14ac:dyDescent="0.2">
      <c r="A43" s="930"/>
      <c r="B43" s="930"/>
      <c r="C43" s="930"/>
      <c r="D43" s="930"/>
      <c r="E43" s="930"/>
      <c r="F43" s="930"/>
      <c r="G43" s="930"/>
      <c r="H43" s="930"/>
      <c r="I43" s="930"/>
      <c r="J43" s="1023"/>
      <c r="K43" s="1023"/>
      <c r="L43" s="1099"/>
    </row>
    <row r="44" spans="1:12" x14ac:dyDescent="0.2">
      <c r="A44" s="1462" t="s">
        <v>498</v>
      </c>
      <c r="B44" s="1462"/>
      <c r="C44" s="1462"/>
      <c r="D44" s="1462"/>
      <c r="E44" s="1462"/>
      <c r="F44" s="1462"/>
      <c r="G44" s="1462"/>
      <c r="H44" s="1462"/>
      <c r="I44" s="1456" t="s">
        <v>499</v>
      </c>
      <c r="J44" s="1456"/>
      <c r="K44" s="1456"/>
      <c r="L44" s="1108">
        <f>ROUND(SUM(L40:L43),4)</f>
        <v>1.3088</v>
      </c>
    </row>
    <row r="45" spans="1:12" x14ac:dyDescent="0.2">
      <c r="A45" s="910"/>
      <c r="B45" s="910"/>
      <c r="C45" s="910"/>
      <c r="D45" s="910"/>
      <c r="E45" s="910"/>
      <c r="F45" s="910"/>
      <c r="G45" s="1109"/>
      <c r="H45" s="1109"/>
      <c r="I45" s="933"/>
      <c r="J45" s="933"/>
      <c r="K45" s="933"/>
      <c r="L45" s="910"/>
    </row>
    <row r="46" spans="1:12" x14ac:dyDescent="0.2">
      <c r="A46" s="1462" t="s">
        <v>500</v>
      </c>
      <c r="B46" s="1462"/>
      <c r="C46" s="1462"/>
      <c r="D46" s="1462"/>
      <c r="E46" s="1462"/>
      <c r="F46" s="1462"/>
      <c r="G46" s="1462"/>
      <c r="H46" s="1460" t="s">
        <v>166</v>
      </c>
      <c r="I46" s="1460"/>
      <c r="J46" s="1460" t="s">
        <v>165</v>
      </c>
      <c r="K46" s="1076" t="s">
        <v>501</v>
      </c>
      <c r="L46" s="1076" t="s">
        <v>484</v>
      </c>
    </row>
    <row r="47" spans="1:12" x14ac:dyDescent="0.2">
      <c r="A47" s="1462"/>
      <c r="B47" s="1462"/>
      <c r="C47" s="1462"/>
      <c r="D47" s="1462"/>
      <c r="E47" s="1462"/>
      <c r="F47" s="1462"/>
      <c r="G47" s="1462"/>
      <c r="H47" s="1460"/>
      <c r="I47" s="1460"/>
      <c r="J47" s="1460"/>
      <c r="K47" s="1110" t="s">
        <v>451</v>
      </c>
      <c r="L47" s="1026" t="s">
        <v>451</v>
      </c>
    </row>
    <row r="48" spans="1:12" x14ac:dyDescent="0.2">
      <c r="A48" s="1244"/>
      <c r="B48" s="942"/>
      <c r="C48" s="979"/>
      <c r="D48" s="942"/>
      <c r="E48" s="942"/>
      <c r="F48" s="942"/>
      <c r="G48" s="937"/>
      <c r="H48" s="1521"/>
      <c r="I48" s="1521"/>
      <c r="J48" s="1113"/>
      <c r="K48" s="1020"/>
      <c r="L48" s="1245">
        <f>H48*K48</f>
        <v>0</v>
      </c>
    </row>
    <row r="49" spans="1:12" x14ac:dyDescent="0.2">
      <c r="A49" s="1114"/>
      <c r="B49" s="979"/>
      <c r="C49" s="979"/>
      <c r="D49" s="942"/>
      <c r="E49" s="942"/>
      <c r="F49" s="942"/>
      <c r="G49" s="937"/>
      <c r="H49" s="1495"/>
      <c r="I49" s="1495"/>
      <c r="J49" s="1113"/>
      <c r="K49" s="1020"/>
      <c r="L49" s="1138">
        <f>H49*K49</f>
        <v>0</v>
      </c>
    </row>
    <row r="50" spans="1:12" x14ac:dyDescent="0.2">
      <c r="A50" s="1114"/>
      <c r="B50" s="979"/>
      <c r="C50" s="979"/>
      <c r="D50" s="942"/>
      <c r="E50" s="942"/>
      <c r="F50" s="942"/>
      <c r="G50" s="937"/>
      <c r="H50" s="1495"/>
      <c r="I50" s="1495"/>
      <c r="J50" s="1113"/>
      <c r="K50" s="1020"/>
      <c r="L50" s="1138">
        <f>H50*K50</f>
        <v>0</v>
      </c>
    </row>
    <row r="51" spans="1:12" x14ac:dyDescent="0.2">
      <c r="A51" s="1114"/>
      <c r="B51" s="979"/>
      <c r="C51" s="979">
        <f>-C49</f>
        <v>0</v>
      </c>
      <c r="D51" s="942"/>
      <c r="E51" s="942"/>
      <c r="F51" s="942"/>
      <c r="G51" s="937"/>
      <c r="H51" s="1495"/>
      <c r="I51" s="1495"/>
      <c r="J51" s="1113"/>
      <c r="K51" s="1020"/>
      <c r="L51" s="1138">
        <f>H51*K51</f>
        <v>0</v>
      </c>
    </row>
    <row r="52" spans="1:12" x14ac:dyDescent="0.2">
      <c r="A52" s="1114"/>
      <c r="B52" s="979"/>
      <c r="C52" s="979"/>
      <c r="D52" s="1083"/>
      <c r="E52" s="1083"/>
      <c r="F52" s="1083"/>
      <c r="G52" s="1115"/>
      <c r="H52" s="1512"/>
      <c r="I52" s="1512"/>
      <c r="J52" s="1113"/>
      <c r="K52" s="1020"/>
      <c r="L52" s="1246">
        <f>H52*K52</f>
        <v>0</v>
      </c>
    </row>
    <row r="53" spans="1:12" x14ac:dyDescent="0.2">
      <c r="A53" s="1454" t="s">
        <v>502</v>
      </c>
      <c r="B53" s="1454"/>
      <c r="C53" s="1454"/>
      <c r="D53" s="1454"/>
      <c r="E53" s="1454"/>
      <c r="F53" s="1454"/>
      <c r="G53" s="1454"/>
      <c r="H53" s="1454"/>
      <c r="I53" s="1454"/>
      <c r="J53" s="1454"/>
      <c r="K53" s="1454"/>
      <c r="L53" s="1108">
        <f>ROUND(SUM(L48:L52),4)</f>
        <v>0</v>
      </c>
    </row>
    <row r="54" spans="1:12" x14ac:dyDescent="0.2">
      <c r="A54" s="932"/>
      <c r="B54" s="932"/>
      <c r="C54" s="932"/>
      <c r="D54" s="932"/>
      <c r="E54" s="932"/>
      <c r="F54" s="932"/>
      <c r="G54" s="932"/>
      <c r="H54" s="932"/>
      <c r="I54" s="932"/>
      <c r="J54" s="910"/>
      <c r="K54" s="1117"/>
      <c r="L54" s="1118"/>
    </row>
    <row r="55" spans="1:12" ht="13.9" customHeight="1" x14ac:dyDescent="0.2">
      <c r="A55" s="1462" t="s">
        <v>503</v>
      </c>
      <c r="B55" s="1462"/>
      <c r="C55" s="1462"/>
      <c r="D55" s="1462"/>
      <c r="E55" s="1462"/>
      <c r="F55" s="1462"/>
      <c r="G55" s="1452" t="s">
        <v>504</v>
      </c>
      <c r="H55" s="1460" t="s">
        <v>505</v>
      </c>
      <c r="I55" s="1460"/>
      <c r="J55" s="1460"/>
      <c r="K55" s="1460"/>
      <c r="L55" s="1460" t="s">
        <v>506</v>
      </c>
    </row>
    <row r="56" spans="1:12" x14ac:dyDescent="0.2">
      <c r="A56" s="1462"/>
      <c r="B56" s="1462"/>
      <c r="C56" s="1462"/>
      <c r="D56" s="1462"/>
      <c r="E56" s="1462"/>
      <c r="F56" s="1462"/>
      <c r="G56" s="1452"/>
      <c r="H56" s="944" t="s">
        <v>112</v>
      </c>
      <c r="I56" s="1095" t="s">
        <v>380</v>
      </c>
      <c r="J56" s="1026" t="s">
        <v>383</v>
      </c>
      <c r="K56" s="1110" t="s">
        <v>385</v>
      </c>
      <c r="L56" s="1460"/>
    </row>
    <row r="57" spans="1:12" x14ac:dyDescent="0.2">
      <c r="A57" s="1462"/>
      <c r="B57" s="1462"/>
      <c r="C57" s="1462"/>
      <c r="D57" s="1462"/>
      <c r="E57" s="1462"/>
      <c r="F57" s="1462"/>
      <c r="G57" s="1452"/>
      <c r="H57" s="943" t="s">
        <v>507</v>
      </c>
      <c r="I57" s="1119"/>
      <c r="J57" s="1119"/>
      <c r="K57" s="1119"/>
      <c r="L57" s="1460"/>
    </row>
    <row r="58" spans="1:12" x14ac:dyDescent="0.2">
      <c r="A58" s="1488"/>
      <c r="B58" s="1489"/>
      <c r="C58" s="1490"/>
      <c r="D58" s="1502"/>
      <c r="E58" s="1502"/>
      <c r="F58" s="1503"/>
      <c r="G58" s="1493">
        <f>ROUND(H48/1000,5)</f>
        <v>0</v>
      </c>
      <c r="H58" s="1120" t="s">
        <v>508</v>
      </c>
      <c r="I58" s="1121"/>
      <c r="J58" s="1121"/>
      <c r="K58" s="1121"/>
      <c r="L58" s="1494">
        <f>G58*($I$57*I59+$J$57*J59+$K$57*K59)</f>
        <v>0</v>
      </c>
    </row>
    <row r="59" spans="1:12" x14ac:dyDescent="0.2">
      <c r="A59" s="1488"/>
      <c r="B59" s="1489"/>
      <c r="C59" s="1490"/>
      <c r="D59" s="1502"/>
      <c r="E59" s="1502"/>
      <c r="F59" s="1503"/>
      <c r="G59" s="1493"/>
      <c r="H59" s="1122" t="s">
        <v>509</v>
      </c>
      <c r="I59" s="1123"/>
      <c r="J59" s="1123"/>
      <c r="K59" s="1123"/>
      <c r="L59" s="1494"/>
    </row>
    <row r="60" spans="1:12" x14ac:dyDescent="0.2">
      <c r="A60" s="1043"/>
      <c r="B60" s="958"/>
      <c r="C60" s="979"/>
      <c r="D60" s="1151"/>
      <c r="E60" s="1151"/>
      <c r="F60" s="1141"/>
      <c r="G60" s="1112"/>
      <c r="H60" s="1235"/>
      <c r="I60" s="1236"/>
      <c r="J60" s="961"/>
      <c r="K60" s="1116"/>
      <c r="L60" s="986"/>
    </row>
    <row r="61" spans="1:12" x14ac:dyDescent="0.2">
      <c r="A61" s="1114"/>
      <c r="B61" s="979"/>
      <c r="C61" s="979"/>
      <c r="D61" s="1083"/>
      <c r="E61" s="1083"/>
      <c r="F61" s="1083"/>
      <c r="G61" s="1135"/>
      <c r="H61" s="1247"/>
      <c r="I61" s="1247"/>
      <c r="J61" s="1137"/>
      <c r="K61" s="1044"/>
      <c r="L61" s="1138">
        <f>G61*H61*K61</f>
        <v>0</v>
      </c>
    </row>
    <row r="62" spans="1:12" x14ac:dyDescent="0.2">
      <c r="A62" s="1454" t="s">
        <v>510</v>
      </c>
      <c r="B62" s="1454"/>
      <c r="C62" s="1454"/>
      <c r="D62" s="1454"/>
      <c r="E62" s="1454"/>
      <c r="F62" s="1454"/>
      <c r="G62" s="1454"/>
      <c r="H62" s="1454"/>
      <c r="I62" s="1454"/>
      <c r="J62" s="1454"/>
      <c r="K62" s="1454"/>
      <c r="L62" s="1025">
        <f>ROUND(SUM(L58:L61),4)</f>
        <v>0</v>
      </c>
    </row>
    <row r="63" spans="1:12" x14ac:dyDescent="0.2">
      <c r="A63" s="1049"/>
      <c r="B63" s="1049"/>
      <c r="C63" s="1049"/>
      <c r="D63" s="1049"/>
      <c r="E63" s="1049"/>
      <c r="F63" s="1049"/>
      <c r="G63" s="932"/>
      <c r="H63" s="1050"/>
      <c r="I63" s="1050"/>
      <c r="J63" s="1051"/>
      <c r="K63" s="1052"/>
      <c r="L63" s="1053"/>
    </row>
    <row r="64" spans="1:12" x14ac:dyDescent="0.2">
      <c r="A64" s="1454" t="s">
        <v>460</v>
      </c>
      <c r="B64" s="1454"/>
      <c r="C64" s="1454"/>
      <c r="D64" s="1454"/>
      <c r="E64" s="1454"/>
      <c r="F64" s="1454"/>
      <c r="G64" s="1454"/>
      <c r="H64" s="1454"/>
      <c r="I64" s="1454"/>
      <c r="J64" s="1454"/>
      <c r="K64" s="1454"/>
      <c r="L64" s="1025">
        <f>ROUND(L44+L53+L62,4)</f>
        <v>1.3088</v>
      </c>
    </row>
    <row r="65" spans="1:12" x14ac:dyDescent="0.2">
      <c r="A65" s="1455" t="s">
        <v>461</v>
      </c>
      <c r="B65" s="1455"/>
      <c r="C65" s="1455"/>
      <c r="D65" s="1455"/>
      <c r="E65" s="1455"/>
      <c r="F65" s="1455"/>
      <c r="G65" s="1455"/>
      <c r="H65" s="1455"/>
      <c r="I65" s="1455"/>
      <c r="J65" s="1455"/>
      <c r="K65" s="1055">
        <v>0.25569999999999998</v>
      </c>
      <c r="L65" s="1056">
        <f>ROUND(L64*K65,4)</f>
        <v>0.3347</v>
      </c>
    </row>
    <row r="66" spans="1:12" x14ac:dyDescent="0.2">
      <c r="A66" s="1456" t="s">
        <v>462</v>
      </c>
      <c r="B66" s="1456"/>
      <c r="C66" s="1456"/>
      <c r="D66" s="1456"/>
      <c r="E66" s="1456"/>
      <c r="F66" s="1456"/>
      <c r="G66" s="1456"/>
      <c r="H66" s="1456"/>
      <c r="I66" s="1456"/>
      <c r="J66" s="1456"/>
      <c r="K66" s="1456"/>
      <c r="L66" s="1126">
        <f>ROUND(L64+L65,2)</f>
        <v>1.64</v>
      </c>
    </row>
    <row r="67" spans="1:12" x14ac:dyDescent="0.2">
      <c r="A67" s="1058"/>
      <c r="B67" s="1058"/>
      <c r="C67" s="1058"/>
      <c r="D67" s="1058"/>
      <c r="E67" s="1058"/>
      <c r="F67" s="1058"/>
      <c r="G67" s="1058"/>
      <c r="H67" s="1058"/>
      <c r="I67" s="1058"/>
      <c r="J67" s="1058"/>
      <c r="K67" s="1058"/>
      <c r="L67" s="1058"/>
    </row>
    <row r="68" spans="1:12" ht="24" customHeight="1" x14ac:dyDescent="0.2">
      <c r="A68" s="1059" t="s">
        <v>463</v>
      </c>
      <c r="B68" s="1060"/>
      <c r="C68" s="1518" t="s">
        <v>583</v>
      </c>
      <c r="D68" s="1518"/>
      <c r="E68" s="1518"/>
      <c r="F68" s="1518"/>
      <c r="G68" s="1518"/>
      <c r="H68" s="1518"/>
      <c r="I68" s="1518"/>
      <c r="J68" s="1518"/>
      <c r="K68" s="1518"/>
      <c r="L68" s="1518"/>
    </row>
    <row r="69" spans="1:12" ht="13.9" customHeight="1" x14ac:dyDescent="0.2">
      <c r="A69" s="1210"/>
      <c r="B69" s="1184"/>
      <c r="C69" s="1506" t="s">
        <v>575</v>
      </c>
      <c r="D69" s="1506"/>
      <c r="E69" s="1506"/>
      <c r="F69" s="1506"/>
      <c r="G69" s="1506"/>
      <c r="H69" s="1506"/>
      <c r="I69" s="1506"/>
      <c r="J69" s="1506"/>
      <c r="K69" s="1506"/>
      <c r="L69" s="1506"/>
    </row>
    <row r="70" spans="1:12" ht="25.5" customHeight="1" x14ac:dyDescent="0.2">
      <c r="A70" s="1248"/>
      <c r="B70" s="1249"/>
      <c r="C70" s="1506" t="s">
        <v>584</v>
      </c>
      <c r="D70" s="1506"/>
      <c r="E70" s="1506"/>
      <c r="F70" s="1506"/>
      <c r="G70" s="1506"/>
      <c r="H70" s="1506"/>
      <c r="I70" s="1506"/>
      <c r="J70" s="1506"/>
      <c r="K70" s="1506"/>
      <c r="L70" s="1506"/>
    </row>
    <row r="71" spans="1:12" x14ac:dyDescent="0.2">
      <c r="A71" s="1251"/>
      <c r="B71" s="1073"/>
      <c r="C71" s="1073"/>
      <c r="D71" s="1073"/>
      <c r="E71" s="1073"/>
      <c r="F71" s="1073"/>
      <c r="G71" s="1073"/>
      <c r="H71" s="1073"/>
      <c r="I71" s="1073"/>
      <c r="J71" s="1073"/>
      <c r="K71" s="1073"/>
      <c r="L71" s="1074"/>
    </row>
  </sheetData>
  <mergeCells count="53">
    <mergeCell ref="A1:L1"/>
    <mergeCell ref="A2:L2"/>
    <mergeCell ref="A3:L3"/>
    <mergeCell ref="A4:L4"/>
    <mergeCell ref="A5:K5"/>
    <mergeCell ref="A6:K6"/>
    <mergeCell ref="A7:K7"/>
    <mergeCell ref="L7:L8"/>
    <mergeCell ref="A10:L10"/>
    <mergeCell ref="A12:D12"/>
    <mergeCell ref="A15:L16"/>
    <mergeCell ref="E18:J18"/>
    <mergeCell ref="A20:F21"/>
    <mergeCell ref="G20:G21"/>
    <mergeCell ref="H20:I20"/>
    <mergeCell ref="J20:K20"/>
    <mergeCell ref="D22:F22"/>
    <mergeCell ref="D23:F23"/>
    <mergeCell ref="A29:K29"/>
    <mergeCell ref="A31:I32"/>
    <mergeCell ref="J31:J32"/>
    <mergeCell ref="K31:K32"/>
    <mergeCell ref="D33:I33"/>
    <mergeCell ref="A37:K37"/>
    <mergeCell ref="A44:H44"/>
    <mergeCell ref="I44:K44"/>
    <mergeCell ref="A46:G47"/>
    <mergeCell ref="H46:I47"/>
    <mergeCell ref="J46:J47"/>
    <mergeCell ref="H48:I48"/>
    <mergeCell ref="H49:I49"/>
    <mergeCell ref="H50:I50"/>
    <mergeCell ref="H51:I51"/>
    <mergeCell ref="H52:I52"/>
    <mergeCell ref="A53:K53"/>
    <mergeCell ref="A55:F57"/>
    <mergeCell ref="G55:G57"/>
    <mergeCell ref="H55:K55"/>
    <mergeCell ref="L55:L57"/>
    <mergeCell ref="A66:K66"/>
    <mergeCell ref="C68:L68"/>
    <mergeCell ref="C69:L69"/>
    <mergeCell ref="C70:L70"/>
    <mergeCell ref="G58:G59"/>
    <mergeCell ref="L58:L59"/>
    <mergeCell ref="A62:K62"/>
    <mergeCell ref="A64:K64"/>
    <mergeCell ref="A65:J65"/>
    <mergeCell ref="A58:A59"/>
    <mergeCell ref="B58:B59"/>
    <mergeCell ref="C58:C59"/>
    <mergeCell ref="D58:E59"/>
    <mergeCell ref="F58:F59"/>
  </mergeCells>
  <dataValidations count="1">
    <dataValidation allowBlank="1" showInputMessage="1" showErrorMessage="1" prompt="Clique duas vezes sobre o número do item para ser direcionado à Planilha Orçamentária." sqref="D18" xr:uid="{00000000-0002-0000-0F00-000000000000}">
      <formula1>0</formula1>
      <formula2>0</formula2>
    </dataValidation>
  </dataValidations>
  <printOptions horizontalCentered="1" verticalCentered="1"/>
  <pageMargins left="0.51180555555555496" right="0.51180555555555496" top="0.78749999999999998" bottom="0.78749999999999998" header="0.51180555555555496" footer="0.51180555555555496"/>
  <pageSetup paperSize="9" scale="71" firstPageNumber="0"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70"/>
  <sheetViews>
    <sheetView topLeftCell="A46" zoomScale="83" zoomScaleNormal="83" workbookViewId="0">
      <selection activeCell="P139" sqref="P139"/>
    </sheetView>
  </sheetViews>
  <sheetFormatPr defaultRowHeight="15" x14ac:dyDescent="0.2"/>
  <cols>
    <col min="1" max="1" width="7.6640625" style="902" customWidth="1"/>
    <col min="2" max="2" width="8.609375" style="902" customWidth="1"/>
    <col min="3" max="3" width="1.4765625" style="902" customWidth="1"/>
    <col min="4" max="4" width="3.765625" style="902" customWidth="1"/>
    <col min="5" max="5" width="23.67578125" style="902" customWidth="1"/>
    <col min="6" max="6" width="12.64453125" style="902" customWidth="1"/>
    <col min="7" max="7" width="8.7421875" style="902" customWidth="1"/>
    <col min="8" max="8" width="9.55078125" style="902" customWidth="1"/>
    <col min="9" max="11" width="8.7421875" style="902" customWidth="1"/>
    <col min="12" max="12" width="10.76171875" style="902" customWidth="1"/>
    <col min="13" max="1025" width="8.7421875" customWidth="1"/>
  </cols>
  <sheetData>
    <row r="1" spans="1:12" x14ac:dyDescent="0.2">
      <c r="A1" s="1474"/>
      <c r="B1" s="1474"/>
      <c r="C1" s="1474"/>
      <c r="D1" s="1474"/>
      <c r="E1" s="1474"/>
      <c r="F1" s="1474"/>
      <c r="G1" s="1474"/>
      <c r="H1" s="1474"/>
      <c r="I1" s="1474"/>
      <c r="J1" s="1474"/>
      <c r="K1" s="1474"/>
      <c r="L1" s="1474"/>
    </row>
    <row r="2" spans="1:12" x14ac:dyDescent="0.2">
      <c r="A2" s="1475" t="s">
        <v>629</v>
      </c>
      <c r="B2" s="1475"/>
      <c r="C2" s="1475"/>
      <c r="D2" s="1475"/>
      <c r="E2" s="1475"/>
      <c r="F2" s="1475"/>
      <c r="G2" s="1475"/>
      <c r="H2" s="1475"/>
      <c r="I2" s="1475"/>
      <c r="J2" s="1475"/>
      <c r="K2" s="1475"/>
      <c r="L2" s="1475"/>
    </row>
    <row r="3" spans="1:12" x14ac:dyDescent="0.2">
      <c r="A3" s="1474"/>
      <c r="B3" s="1474"/>
      <c r="C3" s="1474"/>
      <c r="D3" s="1474"/>
      <c r="E3" s="1474"/>
      <c r="F3" s="1474"/>
      <c r="G3" s="1474"/>
      <c r="H3" s="1474"/>
      <c r="I3" s="1474"/>
      <c r="J3" s="1474"/>
      <c r="K3" s="1474"/>
      <c r="L3" s="1474"/>
    </row>
    <row r="4" spans="1:12" x14ac:dyDescent="0.2">
      <c r="A4" s="1476"/>
      <c r="B4" s="1476"/>
      <c r="C4" s="1476"/>
      <c r="D4" s="1476"/>
      <c r="E4" s="1476"/>
      <c r="F4" s="1476"/>
      <c r="G4" s="1476"/>
      <c r="H4" s="1476"/>
      <c r="I4" s="1476"/>
      <c r="J4" s="1476"/>
      <c r="K4" s="1476"/>
      <c r="L4" s="1476"/>
    </row>
    <row r="5" spans="1:12" x14ac:dyDescent="0.2">
      <c r="A5" s="1477"/>
      <c r="B5" s="1477"/>
      <c r="C5" s="1477"/>
      <c r="D5" s="1477"/>
      <c r="E5" s="1477"/>
      <c r="F5" s="1477"/>
      <c r="G5" s="1477"/>
      <c r="H5" s="1477"/>
      <c r="I5" s="1477"/>
      <c r="J5" s="1477"/>
      <c r="K5" s="1477"/>
      <c r="L5" s="903" t="s">
        <v>419</v>
      </c>
    </row>
    <row r="6" spans="1:12" x14ac:dyDescent="0.2">
      <c r="A6" s="1469"/>
      <c r="B6" s="1469"/>
      <c r="C6" s="1469"/>
      <c r="D6" s="1469"/>
      <c r="E6" s="1469"/>
      <c r="F6" s="1469"/>
      <c r="G6" s="1469"/>
      <c r="H6" s="1469"/>
      <c r="I6" s="1469"/>
      <c r="J6" s="1469"/>
      <c r="K6" s="1469"/>
      <c r="L6" s="1075"/>
    </row>
    <row r="7" spans="1:12" ht="13.9" customHeight="1" x14ac:dyDescent="0.2">
      <c r="A7" s="1469"/>
      <c r="B7" s="1469"/>
      <c r="C7" s="1469"/>
      <c r="D7" s="1469"/>
      <c r="E7" s="1469"/>
      <c r="F7" s="1469"/>
      <c r="G7" s="1469"/>
      <c r="H7" s="1469"/>
      <c r="I7" s="1469"/>
      <c r="J7" s="1469"/>
      <c r="K7" s="1469"/>
      <c r="L7" s="1470" t="s">
        <v>185</v>
      </c>
    </row>
    <row r="8" spans="1:12" x14ac:dyDescent="0.2">
      <c r="A8" s="904"/>
      <c r="B8" s="905"/>
      <c r="C8" s="906"/>
      <c r="D8" s="907"/>
      <c r="E8" s="908"/>
      <c r="F8" s="906"/>
      <c r="G8" s="906"/>
      <c r="H8" s="906"/>
      <c r="I8" s="906"/>
      <c r="J8" s="906"/>
      <c r="K8" s="909"/>
      <c r="L8" s="1470"/>
    </row>
    <row r="9" spans="1:12" x14ac:dyDescent="0.2">
      <c r="A9" s="910"/>
      <c r="B9" s="910"/>
      <c r="C9" s="911"/>
      <c r="D9" s="912"/>
      <c r="E9" s="912"/>
      <c r="F9" s="913"/>
      <c r="G9" s="913"/>
      <c r="H9" s="913"/>
      <c r="I9" s="913"/>
      <c r="J9" s="913"/>
      <c r="K9" s="913"/>
      <c r="L9" s="914"/>
    </row>
    <row r="10" spans="1:12" x14ac:dyDescent="0.2">
      <c r="A10" s="1471"/>
      <c r="B10" s="1471"/>
      <c r="C10" s="1471"/>
      <c r="D10" s="1471"/>
      <c r="E10" s="1471"/>
      <c r="F10" s="1471"/>
      <c r="G10" s="1471"/>
      <c r="H10" s="1471"/>
      <c r="I10" s="1471"/>
      <c r="J10" s="1471"/>
      <c r="K10" s="1471"/>
      <c r="L10" s="1471"/>
    </row>
    <row r="11" spans="1:12" x14ac:dyDescent="0.2">
      <c r="A11" s="915"/>
      <c r="B11" s="912"/>
      <c r="C11" s="911"/>
      <c r="D11" s="912"/>
      <c r="E11" s="911"/>
      <c r="F11" s="911"/>
      <c r="G11" s="911"/>
      <c r="H11" s="911"/>
      <c r="I11" s="911"/>
      <c r="J11" s="911"/>
      <c r="K11" s="911"/>
      <c r="L11" s="916"/>
    </row>
    <row r="12" spans="1:12" x14ac:dyDescent="0.2">
      <c r="A12" s="1472" t="s">
        <v>421</v>
      </c>
      <c r="B12" s="1472"/>
      <c r="C12" s="1472"/>
      <c r="D12" s="1472"/>
      <c r="E12" s="917" t="s">
        <v>648</v>
      </c>
      <c r="F12" s="918"/>
      <c r="G12" s="918"/>
      <c r="H12" s="918"/>
      <c r="I12" s="918"/>
      <c r="J12" s="918"/>
      <c r="K12" s="918"/>
      <c r="L12" s="919"/>
    </row>
    <row r="13" spans="1:12" x14ac:dyDescent="0.2">
      <c r="A13" s="920"/>
      <c r="B13" s="907"/>
      <c r="C13" s="921"/>
      <c r="D13" s="907"/>
      <c r="E13" s="907"/>
      <c r="F13" s="906"/>
      <c r="G13" s="906"/>
      <c r="H13" s="906"/>
      <c r="I13" s="906"/>
      <c r="J13" s="906"/>
      <c r="K13" s="906"/>
      <c r="L13" s="922"/>
    </row>
    <row r="14" spans="1:12" x14ac:dyDescent="0.2">
      <c r="A14" s="913"/>
      <c r="B14" s="913"/>
      <c r="C14" s="913"/>
      <c r="D14" s="913"/>
      <c r="E14" s="913"/>
      <c r="F14" s="913"/>
      <c r="G14" s="913"/>
      <c r="H14" s="913"/>
      <c r="I14" s="913"/>
      <c r="J14" s="913"/>
      <c r="K14" s="913"/>
      <c r="L14" s="914"/>
    </row>
    <row r="15" spans="1:12" x14ac:dyDescent="0.2">
      <c r="A15" s="1473" t="s">
        <v>422</v>
      </c>
      <c r="B15" s="1473"/>
      <c r="C15" s="1473"/>
      <c r="D15" s="1473"/>
      <c r="E15" s="1473"/>
      <c r="F15" s="1473"/>
      <c r="G15" s="1473"/>
      <c r="H15" s="1473"/>
      <c r="I15" s="1473"/>
      <c r="J15" s="1473"/>
      <c r="K15" s="1473"/>
      <c r="L15" s="1473"/>
    </row>
    <row r="16" spans="1:12" x14ac:dyDescent="0.2">
      <c r="A16" s="1473"/>
      <c r="B16" s="1473"/>
      <c r="C16" s="1473"/>
      <c r="D16" s="1473"/>
      <c r="E16" s="1473"/>
      <c r="F16" s="1473"/>
      <c r="G16" s="1473"/>
      <c r="H16" s="1473"/>
      <c r="I16" s="1473"/>
      <c r="J16" s="1473"/>
      <c r="K16" s="1473"/>
      <c r="L16" s="1473"/>
    </row>
    <row r="17" spans="1:12" x14ac:dyDescent="0.2">
      <c r="A17" s="923"/>
      <c r="B17" s="923"/>
      <c r="C17" s="923"/>
      <c r="D17" s="923"/>
      <c r="E17" s="923"/>
      <c r="F17" s="923"/>
      <c r="G17" s="923"/>
      <c r="H17" s="923"/>
      <c r="I17" s="923"/>
      <c r="J17" s="923"/>
      <c r="K17" s="923"/>
      <c r="L17" s="923"/>
    </row>
    <row r="18" spans="1:12" ht="31.5" customHeight="1" x14ac:dyDescent="0.2">
      <c r="A18" s="924" t="s">
        <v>423</v>
      </c>
      <c r="B18" s="925"/>
      <c r="C18" s="925"/>
      <c r="D18" s="926" t="s">
        <v>185</v>
      </c>
      <c r="E18" s="1515" t="s">
        <v>585</v>
      </c>
      <c r="F18" s="1515"/>
      <c r="G18" s="1515"/>
      <c r="H18" s="1515"/>
      <c r="I18" s="1515"/>
      <c r="J18" s="1515"/>
      <c r="K18" s="928" t="s">
        <v>425</v>
      </c>
      <c r="L18" s="929" t="s">
        <v>581</v>
      </c>
    </row>
    <row r="19" spans="1:12" x14ac:dyDescent="0.2">
      <c r="A19" s="910"/>
      <c r="B19" s="910"/>
      <c r="C19" s="910"/>
      <c r="D19" s="910"/>
      <c r="E19" s="910"/>
      <c r="F19" s="910"/>
      <c r="G19" s="910"/>
      <c r="H19" s="910"/>
      <c r="I19" s="910"/>
      <c r="J19" s="910"/>
      <c r="K19" s="910"/>
      <c r="L19" s="910"/>
    </row>
    <row r="20" spans="1:12" x14ac:dyDescent="0.2">
      <c r="A20" s="1462" t="s">
        <v>434</v>
      </c>
      <c r="B20" s="1462"/>
      <c r="C20" s="1462"/>
      <c r="D20" s="1462"/>
      <c r="E20" s="1462"/>
      <c r="F20" s="1462"/>
      <c r="G20" s="1460" t="s">
        <v>166</v>
      </c>
      <c r="H20" s="1460" t="s">
        <v>362</v>
      </c>
      <c r="I20" s="1460"/>
      <c r="J20" s="1500" t="s">
        <v>483</v>
      </c>
      <c r="K20" s="1500"/>
      <c r="L20" s="1076" t="s">
        <v>484</v>
      </c>
    </row>
    <row r="21" spans="1:12" x14ac:dyDescent="0.2">
      <c r="A21" s="1462"/>
      <c r="B21" s="1462"/>
      <c r="C21" s="1462"/>
      <c r="D21" s="1462"/>
      <c r="E21" s="1462"/>
      <c r="F21" s="1462"/>
      <c r="G21" s="1460"/>
      <c r="H21" s="943" t="s">
        <v>485</v>
      </c>
      <c r="I21" s="1077" t="s">
        <v>486</v>
      </c>
      <c r="J21" s="943" t="s">
        <v>485</v>
      </c>
      <c r="K21" s="1077" t="s">
        <v>486</v>
      </c>
      <c r="L21" s="1026" t="s">
        <v>487</v>
      </c>
    </row>
    <row r="22" spans="1:12" x14ac:dyDescent="0.2">
      <c r="A22" s="1043" t="s">
        <v>379</v>
      </c>
      <c r="B22" s="1130" t="s">
        <v>639</v>
      </c>
      <c r="C22" s="979" t="s">
        <v>442</v>
      </c>
      <c r="D22" s="1525" t="s">
        <v>638</v>
      </c>
      <c r="E22" s="1525"/>
      <c r="F22" s="1525"/>
      <c r="G22" s="1112">
        <v>4</v>
      </c>
      <c r="H22" s="1116">
        <v>0.85</v>
      </c>
      <c r="I22" s="961">
        <v>0.15</v>
      </c>
      <c r="J22" s="1138">
        <v>265.84550000000002</v>
      </c>
      <c r="K22" s="1138">
        <v>51.721299999999999</v>
      </c>
      <c r="L22" s="986">
        <f>(G22*H22*J22)+(G22*I22*K22)</f>
        <v>934.90748000000008</v>
      </c>
    </row>
    <row r="23" spans="1:12" ht="23.25" customHeight="1" x14ac:dyDescent="0.2">
      <c r="A23" s="1043" t="s">
        <v>379</v>
      </c>
      <c r="B23" s="1130" t="s">
        <v>653</v>
      </c>
      <c r="C23" s="979" t="s">
        <v>442</v>
      </c>
      <c r="D23" s="1526" t="s">
        <v>654</v>
      </c>
      <c r="E23" s="1526"/>
      <c r="F23" s="1526"/>
      <c r="G23" s="1112">
        <v>1</v>
      </c>
      <c r="H23" s="1116">
        <v>1</v>
      </c>
      <c r="I23" s="961">
        <v>0</v>
      </c>
      <c r="J23" s="1138">
        <v>210.93819999999999</v>
      </c>
      <c r="K23" s="1138">
        <v>93.686000000000007</v>
      </c>
      <c r="L23" s="986">
        <f>(G23*H23*J23)+(G23*I23*K23)</f>
        <v>210.93819999999999</v>
      </c>
    </row>
    <row r="24" spans="1:12" x14ac:dyDescent="0.2">
      <c r="A24" s="1043"/>
      <c r="B24" s="1130"/>
      <c r="C24" s="979"/>
      <c r="D24" s="1479"/>
      <c r="E24" s="1479"/>
      <c r="F24" s="1479"/>
      <c r="G24" s="1112"/>
      <c r="H24" s="1116"/>
      <c r="I24" s="961"/>
      <c r="J24" s="986"/>
      <c r="K24" s="986"/>
      <c r="L24" s="986">
        <f>(G24*H24*J24)+(G24*I24*K24)</f>
        <v>0</v>
      </c>
    </row>
    <row r="25" spans="1:12" x14ac:dyDescent="0.2">
      <c r="A25" s="1153"/>
      <c r="B25" s="942"/>
      <c r="C25" s="979"/>
      <c r="D25" s="942"/>
      <c r="E25" s="942"/>
      <c r="F25" s="942"/>
      <c r="G25" s="1112"/>
      <c r="H25" s="1116"/>
      <c r="I25" s="961"/>
      <c r="J25" s="986"/>
      <c r="K25" s="963"/>
      <c r="L25" s="986"/>
    </row>
    <row r="26" spans="1:12" x14ac:dyDescent="0.2">
      <c r="A26" s="1153"/>
      <c r="B26" s="942"/>
      <c r="C26" s="979"/>
      <c r="D26" s="942"/>
      <c r="E26" s="942"/>
      <c r="F26" s="942"/>
      <c r="G26" s="1112"/>
      <c r="H26" s="1116"/>
      <c r="I26" s="961"/>
      <c r="J26" s="1081"/>
      <c r="K26" s="1087"/>
      <c r="L26" s="986"/>
    </row>
    <row r="27" spans="1:12" x14ac:dyDescent="0.2">
      <c r="A27" s="1153"/>
      <c r="B27" s="942"/>
      <c r="C27" s="979"/>
      <c r="D27" s="942"/>
      <c r="E27" s="942"/>
      <c r="F27" s="942"/>
      <c r="G27" s="1112"/>
      <c r="H27" s="1116"/>
      <c r="I27" s="961"/>
      <c r="J27" s="1081"/>
      <c r="K27" s="1087"/>
      <c r="L27" s="986"/>
    </row>
    <row r="28" spans="1:12" x14ac:dyDescent="0.2">
      <c r="A28" s="1153"/>
      <c r="B28" s="942"/>
      <c r="C28" s="979"/>
      <c r="D28" s="942"/>
      <c r="E28" s="942"/>
      <c r="F28" s="942"/>
      <c r="G28" s="1096"/>
      <c r="H28" s="1116"/>
      <c r="I28" s="961"/>
      <c r="J28" s="1086"/>
      <c r="K28" s="1087"/>
      <c r="L28" s="986"/>
    </row>
    <row r="29" spans="1:12" x14ac:dyDescent="0.2">
      <c r="A29" s="1497" t="s">
        <v>488</v>
      </c>
      <c r="B29" s="1497"/>
      <c r="C29" s="1497"/>
      <c r="D29" s="1497"/>
      <c r="E29" s="1497"/>
      <c r="F29" s="1497"/>
      <c r="G29" s="1497"/>
      <c r="H29" s="1497"/>
      <c r="I29" s="1497"/>
      <c r="J29" s="1497"/>
      <c r="K29" s="1497"/>
      <c r="L29" s="1035">
        <f>ROUND(SUM(L22:L28),4)</f>
        <v>1145.8457000000001</v>
      </c>
    </row>
    <row r="30" spans="1:12" x14ac:dyDescent="0.2">
      <c r="A30" s="930"/>
      <c r="B30" s="930"/>
      <c r="C30" s="930"/>
      <c r="D30" s="930"/>
      <c r="E30" s="930"/>
      <c r="F30" s="930"/>
      <c r="G30" s="930"/>
      <c r="H30" s="1023"/>
      <c r="I30" s="1023"/>
      <c r="J30" s="1023"/>
      <c r="K30" s="1023"/>
      <c r="L30" s="1023"/>
    </row>
    <row r="31" spans="1:12" ht="13.9" customHeight="1" x14ac:dyDescent="0.2">
      <c r="A31" s="1462" t="s">
        <v>447</v>
      </c>
      <c r="B31" s="1462"/>
      <c r="C31" s="1462"/>
      <c r="D31" s="1462"/>
      <c r="E31" s="1462"/>
      <c r="F31" s="1462"/>
      <c r="G31" s="1462"/>
      <c r="H31" s="1462"/>
      <c r="I31" s="1462"/>
      <c r="J31" s="1460" t="s">
        <v>166</v>
      </c>
      <c r="K31" s="1452" t="s">
        <v>489</v>
      </c>
      <c r="L31" s="1076" t="s">
        <v>449</v>
      </c>
    </row>
    <row r="32" spans="1:12" x14ac:dyDescent="0.2">
      <c r="A32" s="1462"/>
      <c r="B32" s="1462"/>
      <c r="C32" s="1462"/>
      <c r="D32" s="1462"/>
      <c r="E32" s="1462"/>
      <c r="F32" s="1462"/>
      <c r="G32" s="1462"/>
      <c r="H32" s="1462"/>
      <c r="I32" s="1462"/>
      <c r="J32" s="1460"/>
      <c r="K32" s="1452"/>
      <c r="L32" s="1026" t="s">
        <v>487</v>
      </c>
    </row>
    <row r="33" spans="1:12" x14ac:dyDescent="0.2">
      <c r="A33" s="1043" t="s">
        <v>379</v>
      </c>
      <c r="B33" s="1130" t="s">
        <v>713</v>
      </c>
      <c r="C33" s="979" t="s">
        <v>442</v>
      </c>
      <c r="D33" s="1525" t="s">
        <v>714</v>
      </c>
      <c r="E33" s="1525"/>
      <c r="F33" s="1525"/>
      <c r="G33" s="1525"/>
      <c r="H33" s="1525"/>
      <c r="I33" s="1525"/>
      <c r="J33" s="1080">
        <v>1</v>
      </c>
      <c r="K33" s="1020">
        <v>15.3812</v>
      </c>
      <c r="L33" s="1243">
        <f>J33*K33</f>
        <v>15.3812</v>
      </c>
    </row>
    <row r="34" spans="1:12" x14ac:dyDescent="0.2">
      <c r="A34" s="1043"/>
      <c r="B34" s="1130"/>
      <c r="C34" s="979"/>
      <c r="D34" s="942"/>
      <c r="E34" s="942"/>
      <c r="F34" s="942"/>
      <c r="G34" s="942"/>
      <c r="H34" s="942"/>
      <c r="I34" s="1144"/>
      <c r="J34" s="1080"/>
      <c r="K34" s="1020"/>
      <c r="L34" s="1243"/>
    </row>
    <row r="35" spans="1:12" x14ac:dyDescent="0.2">
      <c r="A35" s="1153"/>
      <c r="B35" s="942"/>
      <c r="C35" s="979"/>
      <c r="D35" s="942"/>
      <c r="E35" s="942"/>
      <c r="F35" s="942"/>
      <c r="G35" s="910"/>
      <c r="H35" s="979"/>
      <c r="I35" s="1092"/>
      <c r="J35" s="1080"/>
      <c r="K35" s="1020"/>
      <c r="L35" s="1243">
        <f>J35*K35</f>
        <v>0</v>
      </c>
    </row>
    <row r="36" spans="1:12" x14ac:dyDescent="0.2">
      <c r="A36" s="1082"/>
      <c r="B36" s="1083"/>
      <c r="C36" s="1083"/>
      <c r="D36" s="1083"/>
      <c r="E36" s="1083"/>
      <c r="F36" s="1083"/>
      <c r="G36" s="905"/>
      <c r="H36" s="1077"/>
      <c r="I36" s="1095"/>
      <c r="J36" s="1085"/>
      <c r="K36" s="1020"/>
      <c r="L36" s="1243">
        <f>J36*K36</f>
        <v>0</v>
      </c>
    </row>
    <row r="37" spans="1:12" x14ac:dyDescent="0.2">
      <c r="A37" s="1497" t="s">
        <v>490</v>
      </c>
      <c r="B37" s="1497"/>
      <c r="C37" s="1497"/>
      <c r="D37" s="1497"/>
      <c r="E37" s="1497"/>
      <c r="F37" s="1497"/>
      <c r="G37" s="1497"/>
      <c r="H37" s="1497"/>
      <c r="I37" s="1497"/>
      <c r="J37" s="1497"/>
      <c r="K37" s="1497"/>
      <c r="L37" s="1035">
        <f>ROUND(SUM(L33:L36),4)</f>
        <v>15.3812</v>
      </c>
    </row>
    <row r="38" spans="1:12" x14ac:dyDescent="0.2">
      <c r="A38" s="930"/>
      <c r="B38" s="930"/>
      <c r="C38" s="930"/>
      <c r="D38" s="930"/>
      <c r="E38" s="930"/>
      <c r="F38" s="930"/>
      <c r="G38" s="930"/>
      <c r="H38" s="930"/>
      <c r="I38" s="930"/>
      <c r="J38" s="1023"/>
      <c r="K38" s="1023"/>
      <c r="L38" s="1023"/>
    </row>
    <row r="39" spans="1:12" x14ac:dyDescent="0.2">
      <c r="A39" s="930"/>
      <c r="B39" s="930"/>
      <c r="C39" s="930"/>
      <c r="D39" s="930"/>
      <c r="E39" s="930"/>
      <c r="F39" s="930"/>
      <c r="G39" s="930"/>
      <c r="H39" s="930"/>
      <c r="I39" s="930"/>
      <c r="J39" s="1023"/>
      <c r="K39" s="1100" t="s">
        <v>491</v>
      </c>
      <c r="L39" s="1101">
        <f>L29+L37</f>
        <v>1161.2269000000001</v>
      </c>
    </row>
    <row r="40" spans="1:12" x14ac:dyDescent="0.2">
      <c r="A40" s="1102" t="s">
        <v>492</v>
      </c>
      <c r="B40" s="930"/>
      <c r="C40" s="930"/>
      <c r="D40" s="930"/>
      <c r="E40" s="930"/>
      <c r="F40" s="1103">
        <v>221.33</v>
      </c>
      <c r="G40" s="1104" t="str">
        <f>L18</f>
        <v>m³</v>
      </c>
      <c r="H40" s="1102"/>
      <c r="I40" s="930"/>
      <c r="J40" s="1105"/>
      <c r="K40" s="1106" t="s">
        <v>493</v>
      </c>
      <c r="L40" s="1035">
        <f>L39/F40</f>
        <v>5.246586093164054</v>
      </c>
    </row>
    <row r="41" spans="1:12" x14ac:dyDescent="0.2">
      <c r="A41" s="1102"/>
      <c r="B41" s="930" t="s">
        <v>494</v>
      </c>
      <c r="C41" s="930"/>
      <c r="D41" s="930"/>
      <c r="E41" s="930"/>
      <c r="F41" s="1103">
        <v>4.8980000000000003E-2</v>
      </c>
      <c r="G41" s="1104"/>
      <c r="H41" s="1102"/>
      <c r="I41" s="930"/>
      <c r="J41" s="1105"/>
      <c r="K41" s="1100" t="s">
        <v>495</v>
      </c>
      <c r="L41" s="1035">
        <f>L40*F41</f>
        <v>0.2569777868431754</v>
      </c>
    </row>
    <row r="42" spans="1:12" x14ac:dyDescent="0.2">
      <c r="A42" s="1102"/>
      <c r="B42" s="930" t="s">
        <v>496</v>
      </c>
      <c r="C42" s="930"/>
      <c r="D42" s="930"/>
      <c r="E42" s="930"/>
      <c r="F42" s="1202"/>
      <c r="G42" s="1104"/>
      <c r="H42" s="1105"/>
      <c r="I42" s="1107"/>
      <c r="J42" s="1023"/>
      <c r="K42" s="1100" t="s">
        <v>497</v>
      </c>
      <c r="L42" s="1035">
        <f>L40*F42</f>
        <v>0</v>
      </c>
    </row>
    <row r="43" spans="1:12" x14ac:dyDescent="0.2">
      <c r="A43" s="930"/>
      <c r="B43" s="930"/>
      <c r="C43" s="930"/>
      <c r="D43" s="930"/>
      <c r="E43" s="930"/>
      <c r="F43" s="930"/>
      <c r="G43" s="930"/>
      <c r="H43" s="930"/>
      <c r="I43" s="930"/>
      <c r="J43" s="1023"/>
      <c r="K43" s="1023"/>
      <c r="L43" s="1099"/>
    </row>
    <row r="44" spans="1:12" x14ac:dyDescent="0.2">
      <c r="A44" s="1462" t="s">
        <v>498</v>
      </c>
      <c r="B44" s="1462"/>
      <c r="C44" s="1462"/>
      <c r="D44" s="1462"/>
      <c r="E44" s="1462"/>
      <c r="F44" s="1462"/>
      <c r="G44" s="1462"/>
      <c r="H44" s="1462"/>
      <c r="I44" s="1456" t="s">
        <v>499</v>
      </c>
      <c r="J44" s="1456"/>
      <c r="K44" s="1456"/>
      <c r="L44" s="1108">
        <f>ROUND(SUM(L40:L43),4)</f>
        <v>5.5035999999999996</v>
      </c>
    </row>
    <row r="45" spans="1:12" x14ac:dyDescent="0.2">
      <c r="A45" s="910"/>
      <c r="B45" s="910"/>
      <c r="C45" s="910"/>
      <c r="D45" s="910"/>
      <c r="E45" s="910"/>
      <c r="F45" s="910"/>
      <c r="G45" s="1109"/>
      <c r="H45" s="1109"/>
      <c r="I45" s="933"/>
      <c r="J45" s="933"/>
      <c r="K45" s="933"/>
      <c r="L45" s="910"/>
    </row>
    <row r="46" spans="1:12" x14ac:dyDescent="0.2">
      <c r="A46" s="1462" t="s">
        <v>500</v>
      </c>
      <c r="B46" s="1462"/>
      <c r="C46" s="1462"/>
      <c r="D46" s="1462"/>
      <c r="E46" s="1462"/>
      <c r="F46" s="1462"/>
      <c r="G46" s="1462"/>
      <c r="H46" s="1460" t="s">
        <v>166</v>
      </c>
      <c r="I46" s="1460"/>
      <c r="J46" s="1460" t="s">
        <v>165</v>
      </c>
      <c r="K46" s="1076" t="s">
        <v>501</v>
      </c>
      <c r="L46" s="1076" t="s">
        <v>484</v>
      </c>
    </row>
    <row r="47" spans="1:12" x14ac:dyDescent="0.2">
      <c r="A47" s="1462"/>
      <c r="B47" s="1462"/>
      <c r="C47" s="1462"/>
      <c r="D47" s="1462"/>
      <c r="E47" s="1462"/>
      <c r="F47" s="1462"/>
      <c r="G47" s="1462"/>
      <c r="H47" s="1460"/>
      <c r="I47" s="1460"/>
      <c r="J47" s="1460"/>
      <c r="K47" s="1110" t="s">
        <v>451</v>
      </c>
      <c r="L47" s="1026" t="s">
        <v>451</v>
      </c>
    </row>
    <row r="48" spans="1:12" x14ac:dyDescent="0.2">
      <c r="A48" s="1244"/>
      <c r="B48" s="942"/>
      <c r="C48" s="979"/>
      <c r="D48" s="942"/>
      <c r="E48" s="942"/>
      <c r="F48" s="942"/>
      <c r="G48" s="937"/>
      <c r="H48" s="1521"/>
      <c r="I48" s="1521"/>
      <c r="J48" s="1113"/>
      <c r="K48" s="1020"/>
      <c r="L48" s="1245">
        <f>H48*K48</f>
        <v>0</v>
      </c>
    </row>
    <row r="49" spans="1:12" x14ac:dyDescent="0.2">
      <c r="A49" s="1114"/>
      <c r="B49" s="979"/>
      <c r="C49" s="979"/>
      <c r="D49" s="942"/>
      <c r="E49" s="942"/>
      <c r="F49" s="942"/>
      <c r="G49" s="937"/>
      <c r="H49" s="1495"/>
      <c r="I49" s="1495"/>
      <c r="J49" s="1113"/>
      <c r="K49" s="1020"/>
      <c r="L49" s="1138">
        <f>H49*K49</f>
        <v>0</v>
      </c>
    </row>
    <row r="50" spans="1:12" x14ac:dyDescent="0.2">
      <c r="A50" s="1114"/>
      <c r="B50" s="979"/>
      <c r="C50" s="979"/>
      <c r="D50" s="942"/>
      <c r="E50" s="942"/>
      <c r="F50" s="942"/>
      <c r="G50" s="937"/>
      <c r="H50" s="1495"/>
      <c r="I50" s="1495"/>
      <c r="J50" s="1113"/>
      <c r="K50" s="1020"/>
      <c r="L50" s="1138">
        <f>H50*K50</f>
        <v>0</v>
      </c>
    </row>
    <row r="51" spans="1:12" x14ac:dyDescent="0.2">
      <c r="A51" s="1114"/>
      <c r="B51" s="979"/>
      <c r="C51" s="979">
        <f>-C49</f>
        <v>0</v>
      </c>
      <c r="D51" s="942"/>
      <c r="E51" s="942"/>
      <c r="F51" s="942"/>
      <c r="G51" s="937"/>
      <c r="H51" s="1495"/>
      <c r="I51" s="1495"/>
      <c r="J51" s="1113"/>
      <c r="K51" s="1020"/>
      <c r="L51" s="1138">
        <f>H51*K51</f>
        <v>0</v>
      </c>
    </row>
    <row r="52" spans="1:12" x14ac:dyDescent="0.2">
      <c r="A52" s="1114"/>
      <c r="B52" s="979"/>
      <c r="C52" s="979"/>
      <c r="D52" s="1083"/>
      <c r="E52" s="1083"/>
      <c r="F52" s="1083"/>
      <c r="G52" s="1115"/>
      <c r="H52" s="1512"/>
      <c r="I52" s="1512"/>
      <c r="J52" s="1113"/>
      <c r="K52" s="1020"/>
      <c r="L52" s="1246">
        <f>H52*K52</f>
        <v>0</v>
      </c>
    </row>
    <row r="53" spans="1:12" x14ac:dyDescent="0.2">
      <c r="A53" s="1454" t="s">
        <v>502</v>
      </c>
      <c r="B53" s="1454"/>
      <c r="C53" s="1454"/>
      <c r="D53" s="1454"/>
      <c r="E53" s="1454"/>
      <c r="F53" s="1454"/>
      <c r="G53" s="1454"/>
      <c r="H53" s="1454"/>
      <c r="I53" s="1454"/>
      <c r="J53" s="1454"/>
      <c r="K53" s="1454"/>
      <c r="L53" s="1108">
        <f>ROUND(SUM(L48:L52),4)</f>
        <v>0</v>
      </c>
    </row>
    <row r="54" spans="1:12" x14ac:dyDescent="0.2">
      <c r="A54" s="932"/>
      <c r="B54" s="932"/>
      <c r="C54" s="932"/>
      <c r="D54" s="932"/>
      <c r="E54" s="932"/>
      <c r="F54" s="932"/>
      <c r="G54" s="932"/>
      <c r="H54" s="932"/>
      <c r="I54" s="932"/>
      <c r="J54" s="910"/>
      <c r="K54" s="1117"/>
      <c r="L54" s="1118"/>
    </row>
    <row r="55" spans="1:12" ht="13.9" customHeight="1" x14ac:dyDescent="0.2">
      <c r="A55" s="1462" t="s">
        <v>503</v>
      </c>
      <c r="B55" s="1462"/>
      <c r="C55" s="1462"/>
      <c r="D55" s="1462"/>
      <c r="E55" s="1462"/>
      <c r="F55" s="1462"/>
      <c r="G55" s="1452" t="s">
        <v>504</v>
      </c>
      <c r="H55" s="1460" t="s">
        <v>505</v>
      </c>
      <c r="I55" s="1460"/>
      <c r="J55" s="1460"/>
      <c r="K55" s="1460"/>
      <c r="L55" s="1460" t="s">
        <v>506</v>
      </c>
    </row>
    <row r="56" spans="1:12" x14ac:dyDescent="0.2">
      <c r="A56" s="1462"/>
      <c r="B56" s="1462"/>
      <c r="C56" s="1462"/>
      <c r="D56" s="1462"/>
      <c r="E56" s="1462"/>
      <c r="F56" s="1462"/>
      <c r="G56" s="1452"/>
      <c r="H56" s="944" t="s">
        <v>112</v>
      </c>
      <c r="I56" s="1095" t="s">
        <v>380</v>
      </c>
      <c r="J56" s="1026" t="s">
        <v>383</v>
      </c>
      <c r="K56" s="1110" t="s">
        <v>385</v>
      </c>
      <c r="L56" s="1460"/>
    </row>
    <row r="57" spans="1:12" x14ac:dyDescent="0.2">
      <c r="A57" s="1462"/>
      <c r="B57" s="1462"/>
      <c r="C57" s="1462"/>
      <c r="D57" s="1462"/>
      <c r="E57" s="1462"/>
      <c r="F57" s="1462"/>
      <c r="G57" s="1452"/>
      <c r="H57" s="943" t="s">
        <v>507</v>
      </c>
      <c r="I57" s="1119"/>
      <c r="J57" s="1119"/>
      <c r="K57" s="1119"/>
      <c r="L57" s="1460"/>
    </row>
    <row r="58" spans="1:12" x14ac:dyDescent="0.2">
      <c r="A58" s="1488"/>
      <c r="B58" s="1489"/>
      <c r="C58" s="1490"/>
      <c r="D58" s="1502"/>
      <c r="E58" s="1502"/>
      <c r="F58" s="1503"/>
      <c r="G58" s="1493">
        <f>ROUND(H48/1000,5)</f>
        <v>0</v>
      </c>
      <c r="H58" s="1120" t="s">
        <v>508</v>
      </c>
      <c r="I58" s="1121"/>
      <c r="J58" s="1121"/>
      <c r="K58" s="1121"/>
      <c r="L58" s="1494">
        <f>G58*($I$57*I59+$J$57*J59+$K$57*K59)</f>
        <v>0</v>
      </c>
    </row>
    <row r="59" spans="1:12" x14ac:dyDescent="0.2">
      <c r="A59" s="1488"/>
      <c r="B59" s="1489"/>
      <c r="C59" s="1490"/>
      <c r="D59" s="1502"/>
      <c r="E59" s="1502"/>
      <c r="F59" s="1503"/>
      <c r="G59" s="1493"/>
      <c r="H59" s="1122" t="s">
        <v>509</v>
      </c>
      <c r="I59" s="1123"/>
      <c r="J59" s="1123"/>
      <c r="K59" s="1123"/>
      <c r="L59" s="1494"/>
    </row>
    <row r="60" spans="1:12" x14ac:dyDescent="0.2">
      <c r="A60" s="1114"/>
      <c r="B60" s="979"/>
      <c r="C60" s="979"/>
      <c r="D60" s="1083"/>
      <c r="E60" s="1083"/>
      <c r="F60" s="1083"/>
      <c r="G60" s="1135"/>
      <c r="H60" s="1512"/>
      <c r="I60" s="1512"/>
      <c r="J60" s="1137"/>
      <c r="K60" s="1044"/>
      <c r="L60" s="1138">
        <f>G60*H60*K60</f>
        <v>0</v>
      </c>
    </row>
    <row r="61" spans="1:12" x14ac:dyDescent="0.2">
      <c r="A61" s="1454" t="s">
        <v>510</v>
      </c>
      <c r="B61" s="1454"/>
      <c r="C61" s="1454"/>
      <c r="D61" s="1454"/>
      <c r="E61" s="1454"/>
      <c r="F61" s="1454"/>
      <c r="G61" s="1454"/>
      <c r="H61" s="1454"/>
      <c r="I61" s="1454"/>
      <c r="J61" s="1454"/>
      <c r="K61" s="1454"/>
      <c r="L61" s="1025">
        <f>ROUND(SUM(L58:L60),4)</f>
        <v>0</v>
      </c>
    </row>
    <row r="62" spans="1:12" x14ac:dyDescent="0.2">
      <c r="A62" s="1049"/>
      <c r="B62" s="1049"/>
      <c r="C62" s="1049"/>
      <c r="D62" s="1049"/>
      <c r="E62" s="1049"/>
      <c r="F62" s="1049"/>
      <c r="G62" s="932"/>
      <c r="H62" s="1050"/>
      <c r="I62" s="1050"/>
      <c r="J62" s="1051"/>
      <c r="K62" s="1052"/>
      <c r="L62" s="1053"/>
    </row>
    <row r="63" spans="1:12" x14ac:dyDescent="0.2">
      <c r="A63" s="1454" t="s">
        <v>460</v>
      </c>
      <c r="B63" s="1454"/>
      <c r="C63" s="1454"/>
      <c r="D63" s="1454"/>
      <c r="E63" s="1454"/>
      <c r="F63" s="1454"/>
      <c r="G63" s="1454"/>
      <c r="H63" s="1454"/>
      <c r="I63" s="1454"/>
      <c r="J63" s="1454"/>
      <c r="K63" s="1454"/>
      <c r="L63" s="1025">
        <f>ROUND(L44+L53+L61,4)</f>
        <v>5.5035999999999996</v>
      </c>
    </row>
    <row r="64" spans="1:12" x14ac:dyDescent="0.2">
      <c r="A64" s="1455" t="s">
        <v>461</v>
      </c>
      <c r="B64" s="1455"/>
      <c r="C64" s="1455"/>
      <c r="D64" s="1455"/>
      <c r="E64" s="1455"/>
      <c r="F64" s="1455"/>
      <c r="G64" s="1455"/>
      <c r="H64" s="1455"/>
      <c r="I64" s="1455"/>
      <c r="J64" s="1455"/>
      <c r="K64" s="1055">
        <v>0.25569999999999998</v>
      </c>
      <c r="L64" s="1056">
        <f>ROUND(L63*K64,4)</f>
        <v>1.4073</v>
      </c>
    </row>
    <row r="65" spans="1:12" x14ac:dyDescent="0.2">
      <c r="A65" s="1456" t="s">
        <v>462</v>
      </c>
      <c r="B65" s="1456"/>
      <c r="C65" s="1456"/>
      <c r="D65" s="1456"/>
      <c r="E65" s="1456"/>
      <c r="F65" s="1456"/>
      <c r="G65" s="1456"/>
      <c r="H65" s="1456"/>
      <c r="I65" s="1456"/>
      <c r="J65" s="1456"/>
      <c r="K65" s="1456"/>
      <c r="L65" s="1126">
        <f>ROUND(L63+L64,2)</f>
        <v>6.91</v>
      </c>
    </row>
    <row r="66" spans="1:12" x14ac:dyDescent="0.2">
      <c r="A66" s="1058"/>
      <c r="B66" s="1058"/>
      <c r="C66" s="1058"/>
      <c r="D66" s="1058"/>
      <c r="E66" s="1058"/>
      <c r="F66" s="1058"/>
      <c r="G66" s="1058"/>
      <c r="H66" s="1058"/>
      <c r="I66" s="1058"/>
      <c r="J66" s="1058"/>
      <c r="K66" s="1058"/>
      <c r="L66" s="1058"/>
    </row>
    <row r="67" spans="1:12" ht="27.75" customHeight="1" x14ac:dyDescent="0.2">
      <c r="A67" s="1059" t="s">
        <v>463</v>
      </c>
      <c r="B67" s="1060"/>
      <c r="C67" s="1518" t="s">
        <v>586</v>
      </c>
      <c r="D67" s="1518"/>
      <c r="E67" s="1518"/>
      <c r="F67" s="1518"/>
      <c r="G67" s="1518"/>
      <c r="H67" s="1518"/>
      <c r="I67" s="1518"/>
      <c r="J67" s="1518"/>
      <c r="K67" s="1518"/>
      <c r="L67" s="1518"/>
    </row>
    <row r="68" spans="1:12" ht="13.9" customHeight="1" x14ac:dyDescent="0.2">
      <c r="A68" s="1210"/>
      <c r="B68" s="1184"/>
      <c r="C68" s="1506" t="s">
        <v>575</v>
      </c>
      <c r="D68" s="1506"/>
      <c r="E68" s="1506"/>
      <c r="F68" s="1506"/>
      <c r="G68" s="1506"/>
      <c r="H68" s="1506"/>
      <c r="I68" s="1506"/>
      <c r="J68" s="1506"/>
      <c r="K68" s="1506"/>
      <c r="L68" s="1506"/>
    </row>
    <row r="69" spans="1:12" x14ac:dyDescent="0.2">
      <c r="A69" s="1210"/>
      <c r="B69" s="1184"/>
      <c r="C69" s="1184"/>
      <c r="D69" s="1184"/>
      <c r="E69" s="1184"/>
      <c r="F69" s="1184"/>
      <c r="G69" s="1184"/>
      <c r="H69" s="1184"/>
      <c r="I69" s="1184"/>
      <c r="J69" s="1184"/>
      <c r="K69" s="1184"/>
      <c r="L69" s="1253"/>
    </row>
    <row r="70" spans="1:12" x14ac:dyDescent="0.2">
      <c r="A70" s="1071"/>
      <c r="B70" s="1129"/>
      <c r="C70" s="1129"/>
      <c r="D70" s="1129"/>
      <c r="E70" s="1129"/>
      <c r="F70" s="1129"/>
      <c r="G70" s="1129"/>
      <c r="H70" s="1129"/>
      <c r="I70" s="1129"/>
      <c r="J70" s="1129"/>
      <c r="K70" s="1129"/>
      <c r="L70" s="1254"/>
    </row>
  </sheetData>
  <mergeCells count="54">
    <mergeCell ref="A1:L1"/>
    <mergeCell ref="A2:L2"/>
    <mergeCell ref="A3:L3"/>
    <mergeCell ref="A4:L4"/>
    <mergeCell ref="A5:K5"/>
    <mergeCell ref="A6:K6"/>
    <mergeCell ref="A7:K7"/>
    <mergeCell ref="L7:L8"/>
    <mergeCell ref="A10:L10"/>
    <mergeCell ref="A12:D12"/>
    <mergeCell ref="A15:L16"/>
    <mergeCell ref="E18:J18"/>
    <mergeCell ref="A20:F21"/>
    <mergeCell ref="G20:G21"/>
    <mergeCell ref="H20:I20"/>
    <mergeCell ref="J20:K20"/>
    <mergeCell ref="D22:F22"/>
    <mergeCell ref="D23:F23"/>
    <mergeCell ref="D24:F24"/>
    <mergeCell ref="A29:K29"/>
    <mergeCell ref="A31:I32"/>
    <mergeCell ref="J31:J32"/>
    <mergeCell ref="K31:K32"/>
    <mergeCell ref="D33:I33"/>
    <mergeCell ref="A37:K37"/>
    <mergeCell ref="A44:H44"/>
    <mergeCell ref="I44:K44"/>
    <mergeCell ref="A46:G47"/>
    <mergeCell ref="H46:I47"/>
    <mergeCell ref="J46:J47"/>
    <mergeCell ref="H48:I48"/>
    <mergeCell ref="H49:I49"/>
    <mergeCell ref="H50:I50"/>
    <mergeCell ref="H51:I51"/>
    <mergeCell ref="H52:I52"/>
    <mergeCell ref="A53:K53"/>
    <mergeCell ref="A55:F57"/>
    <mergeCell ref="G55:G57"/>
    <mergeCell ref="H55:K55"/>
    <mergeCell ref="L55:L57"/>
    <mergeCell ref="A64:J64"/>
    <mergeCell ref="A65:K65"/>
    <mergeCell ref="C67:L67"/>
    <mergeCell ref="C68:L68"/>
    <mergeCell ref="G58:G59"/>
    <mergeCell ref="L58:L59"/>
    <mergeCell ref="H60:I60"/>
    <mergeCell ref="A61:K61"/>
    <mergeCell ref="A63:K63"/>
    <mergeCell ref="A58:A59"/>
    <mergeCell ref="B58:B59"/>
    <mergeCell ref="C58:C59"/>
    <mergeCell ref="D58:E59"/>
    <mergeCell ref="F58:F59"/>
  </mergeCells>
  <dataValidations count="1">
    <dataValidation allowBlank="1" showInputMessage="1" showErrorMessage="1" prompt="Clique duas vezes sobre o número do item para ser direcionado à Planilha Orçamentária." sqref="D18" xr:uid="{00000000-0002-0000-1000-000000000000}">
      <formula1>0</formula1>
      <formula2>0</formula2>
    </dataValidation>
  </dataValidations>
  <printOptions horizontalCentered="1" verticalCentered="1"/>
  <pageMargins left="0.51180555555555496" right="0.51180555555555496" top="0.78749999999999998" bottom="0.78749999999999998" header="0.51180555555555496" footer="0.51180555555555496"/>
  <pageSetup paperSize="9" scale="70" firstPageNumber="0"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72"/>
  <sheetViews>
    <sheetView topLeftCell="A55" zoomScale="83" zoomScaleNormal="83" workbookViewId="0">
      <selection activeCell="P139" sqref="P139"/>
    </sheetView>
  </sheetViews>
  <sheetFormatPr defaultRowHeight="15" x14ac:dyDescent="0.2"/>
  <cols>
    <col min="1" max="2" width="7.6640625" style="902" customWidth="1"/>
    <col min="3" max="3" width="1.4765625" style="902" customWidth="1"/>
    <col min="4" max="4" width="3.765625" style="902" customWidth="1"/>
    <col min="5" max="5" width="23.67578125" style="902" customWidth="1"/>
    <col min="6" max="6" width="12.64453125" style="902" customWidth="1"/>
    <col min="7" max="11" width="8.7421875" style="902" customWidth="1"/>
    <col min="12" max="12" width="10.76171875" style="902" customWidth="1"/>
    <col min="13" max="1025" width="8.7421875" customWidth="1"/>
  </cols>
  <sheetData>
    <row r="1" spans="1:12" x14ac:dyDescent="0.2">
      <c r="A1" s="1474"/>
      <c r="B1" s="1474"/>
      <c r="C1" s="1474"/>
      <c r="D1" s="1474"/>
      <c r="E1" s="1474"/>
      <c r="F1" s="1474"/>
      <c r="G1" s="1474"/>
      <c r="H1" s="1474"/>
      <c r="I1" s="1474"/>
      <c r="J1" s="1474"/>
      <c r="K1" s="1474"/>
      <c r="L1" s="1474"/>
    </row>
    <row r="2" spans="1:12" x14ac:dyDescent="0.2">
      <c r="A2" s="1475" t="s">
        <v>629</v>
      </c>
      <c r="B2" s="1475"/>
      <c r="C2" s="1475"/>
      <c r="D2" s="1475"/>
      <c r="E2" s="1475"/>
      <c r="F2" s="1475"/>
      <c r="G2" s="1475"/>
      <c r="H2" s="1475"/>
      <c r="I2" s="1475"/>
      <c r="J2" s="1475"/>
      <c r="K2" s="1475"/>
      <c r="L2" s="1475"/>
    </row>
    <row r="3" spans="1:12" ht="11.65" customHeight="1" x14ac:dyDescent="0.2">
      <c r="A3" s="1474"/>
      <c r="B3" s="1474"/>
      <c r="C3" s="1474"/>
      <c r="D3" s="1474"/>
      <c r="E3" s="1474"/>
      <c r="F3" s="1474"/>
      <c r="G3" s="1474"/>
      <c r="H3" s="1474"/>
      <c r="I3" s="1474"/>
      <c r="J3" s="1474"/>
      <c r="K3" s="1474"/>
      <c r="L3" s="1474"/>
    </row>
    <row r="4" spans="1:12" ht="9" customHeight="1" x14ac:dyDescent="0.2">
      <c r="A4" s="1476"/>
      <c r="B4" s="1476"/>
      <c r="C4" s="1476"/>
      <c r="D4" s="1476"/>
      <c r="E4" s="1476"/>
      <c r="F4" s="1476"/>
      <c r="G4" s="1476"/>
      <c r="H4" s="1476"/>
      <c r="I4" s="1476"/>
      <c r="J4" s="1476"/>
      <c r="K4" s="1476"/>
      <c r="L4" s="1476"/>
    </row>
    <row r="5" spans="1:12" x14ac:dyDescent="0.2">
      <c r="A5" s="1477"/>
      <c r="B5" s="1477"/>
      <c r="C5" s="1477"/>
      <c r="D5" s="1477"/>
      <c r="E5" s="1477"/>
      <c r="F5" s="1477"/>
      <c r="G5" s="1477"/>
      <c r="H5" s="1477"/>
      <c r="I5" s="1477"/>
      <c r="J5" s="1477"/>
      <c r="K5" s="1477"/>
      <c r="L5" s="903" t="s">
        <v>419</v>
      </c>
    </row>
    <row r="6" spans="1:12" ht="11.65" customHeight="1" x14ac:dyDescent="0.2">
      <c r="A6" s="1469"/>
      <c r="B6" s="1469"/>
      <c r="C6" s="1469"/>
      <c r="D6" s="1469"/>
      <c r="E6" s="1469"/>
      <c r="F6" s="1469"/>
      <c r="G6" s="1469"/>
      <c r="H6" s="1469"/>
      <c r="I6" s="1469"/>
      <c r="J6" s="1469"/>
      <c r="K6" s="1469"/>
      <c r="L6" s="1075"/>
    </row>
    <row r="7" spans="1:12" ht="10.9" customHeight="1" x14ac:dyDescent="0.2">
      <c r="A7" s="1469"/>
      <c r="B7" s="1469"/>
      <c r="C7" s="1469"/>
      <c r="D7" s="1469"/>
      <c r="E7" s="1469"/>
      <c r="F7" s="1469"/>
      <c r="G7" s="1469"/>
      <c r="H7" s="1469"/>
      <c r="I7" s="1469"/>
      <c r="J7" s="1469"/>
      <c r="K7" s="1469"/>
      <c r="L7" s="1470" t="s">
        <v>190</v>
      </c>
    </row>
    <row r="8" spans="1:12" x14ac:dyDescent="0.2">
      <c r="A8" s="904"/>
      <c r="B8" s="905"/>
      <c r="C8" s="906"/>
      <c r="D8" s="907"/>
      <c r="E8" s="908"/>
      <c r="F8" s="906"/>
      <c r="G8" s="906"/>
      <c r="H8" s="906"/>
      <c r="I8" s="906"/>
      <c r="J8" s="906"/>
      <c r="K8" s="909"/>
      <c r="L8" s="1470"/>
    </row>
    <row r="9" spans="1:12" x14ac:dyDescent="0.2">
      <c r="A9" s="910"/>
      <c r="B9" s="910"/>
      <c r="C9" s="911"/>
      <c r="D9" s="912"/>
      <c r="E9" s="912"/>
      <c r="F9" s="913"/>
      <c r="G9" s="913"/>
      <c r="H9" s="913"/>
      <c r="I9" s="913"/>
      <c r="J9" s="913"/>
      <c r="K9" s="913"/>
      <c r="L9" s="914"/>
    </row>
    <row r="10" spans="1:12" x14ac:dyDescent="0.2">
      <c r="A10" s="1471"/>
      <c r="B10" s="1471"/>
      <c r="C10" s="1471"/>
      <c r="D10" s="1471"/>
      <c r="E10" s="1471"/>
      <c r="F10" s="1471"/>
      <c r="G10" s="1471"/>
      <c r="H10" s="1471"/>
      <c r="I10" s="1471"/>
      <c r="J10" s="1471"/>
      <c r="K10" s="1471"/>
      <c r="L10" s="1471"/>
    </row>
    <row r="11" spans="1:12" x14ac:dyDescent="0.2">
      <c r="A11" s="915"/>
      <c r="B11" s="912"/>
      <c r="C11" s="911"/>
      <c r="D11" s="912"/>
      <c r="E11" s="911"/>
      <c r="F11" s="911"/>
      <c r="G11" s="911"/>
      <c r="H11" s="911"/>
      <c r="I11" s="911"/>
      <c r="J11" s="911"/>
      <c r="K11" s="911"/>
      <c r="L11" s="916"/>
    </row>
    <row r="12" spans="1:12" x14ac:dyDescent="0.2">
      <c r="A12" s="1472" t="s">
        <v>421</v>
      </c>
      <c r="B12" s="1472"/>
      <c r="C12" s="1472"/>
      <c r="D12" s="1472"/>
      <c r="E12" s="917" t="s">
        <v>648</v>
      </c>
      <c r="F12" s="918"/>
      <c r="G12" s="918"/>
      <c r="H12" s="918"/>
      <c r="I12" s="918"/>
      <c r="J12" s="918"/>
      <c r="K12" s="918"/>
      <c r="L12" s="919"/>
    </row>
    <row r="13" spans="1:12" x14ac:dyDescent="0.2">
      <c r="A13" s="920"/>
      <c r="B13" s="907"/>
      <c r="C13" s="921"/>
      <c r="D13" s="907"/>
      <c r="E13" s="907"/>
      <c r="F13" s="906"/>
      <c r="G13" s="906"/>
      <c r="H13" s="906"/>
      <c r="I13" s="906"/>
      <c r="J13" s="906"/>
      <c r="K13" s="906"/>
      <c r="L13" s="922"/>
    </row>
    <row r="14" spans="1:12" x14ac:dyDescent="0.2">
      <c r="A14" s="913"/>
      <c r="B14" s="913"/>
      <c r="C14" s="913"/>
      <c r="D14" s="913"/>
      <c r="E14" s="913"/>
      <c r="F14" s="913"/>
      <c r="G14" s="913"/>
      <c r="H14" s="913"/>
      <c r="I14" s="913"/>
      <c r="J14" s="913"/>
      <c r="K14" s="913"/>
      <c r="L14" s="914"/>
    </row>
    <row r="15" spans="1:12" x14ac:dyDescent="0.2">
      <c r="A15" s="1473" t="s">
        <v>422</v>
      </c>
      <c r="B15" s="1473"/>
      <c r="C15" s="1473"/>
      <c r="D15" s="1473"/>
      <c r="E15" s="1473"/>
      <c r="F15" s="1473"/>
      <c r="G15" s="1473"/>
      <c r="H15" s="1473"/>
      <c r="I15" s="1473"/>
      <c r="J15" s="1473"/>
      <c r="K15" s="1473"/>
      <c r="L15" s="1473"/>
    </row>
    <row r="16" spans="1:12" x14ac:dyDescent="0.2">
      <c r="A16" s="1473"/>
      <c r="B16" s="1473"/>
      <c r="C16" s="1473"/>
      <c r="D16" s="1473"/>
      <c r="E16" s="1473"/>
      <c r="F16" s="1473"/>
      <c r="G16" s="1473"/>
      <c r="H16" s="1473"/>
      <c r="I16" s="1473"/>
      <c r="J16" s="1473"/>
      <c r="K16" s="1473"/>
      <c r="L16" s="1473"/>
    </row>
    <row r="17" spans="1:12" x14ac:dyDescent="0.2">
      <c r="A17" s="923"/>
      <c r="B17" s="923"/>
      <c r="C17" s="923"/>
      <c r="D17" s="923"/>
      <c r="E17" s="923"/>
      <c r="F17" s="923"/>
      <c r="G17" s="923"/>
      <c r="H17" s="923"/>
      <c r="I17" s="923"/>
      <c r="J17" s="923"/>
      <c r="K17" s="923"/>
      <c r="L17" s="923"/>
    </row>
    <row r="18" spans="1:12" ht="27.75" customHeight="1" x14ac:dyDescent="0.2">
      <c r="A18" s="924" t="s">
        <v>423</v>
      </c>
      <c r="B18" s="925"/>
      <c r="C18" s="925"/>
      <c r="D18" s="926" t="s">
        <v>190</v>
      </c>
      <c r="E18" s="1498" t="s">
        <v>587</v>
      </c>
      <c r="F18" s="1498"/>
      <c r="G18" s="1498"/>
      <c r="H18" s="1498"/>
      <c r="I18" s="1498"/>
      <c r="J18" s="1498"/>
      <c r="K18" s="928" t="s">
        <v>425</v>
      </c>
      <c r="L18" s="929" t="s">
        <v>581</v>
      </c>
    </row>
    <row r="19" spans="1:12" x14ac:dyDescent="0.2">
      <c r="A19" s="910"/>
      <c r="B19" s="910"/>
      <c r="C19" s="910"/>
      <c r="D19" s="910"/>
      <c r="E19" s="910"/>
      <c r="F19" s="910"/>
      <c r="G19" s="910"/>
      <c r="H19" s="910"/>
      <c r="I19" s="910"/>
      <c r="J19" s="910"/>
      <c r="K19" s="910"/>
      <c r="L19" s="910"/>
    </row>
    <row r="20" spans="1:12" x14ac:dyDescent="0.2">
      <c r="A20" s="1462" t="s">
        <v>434</v>
      </c>
      <c r="B20" s="1462"/>
      <c r="C20" s="1462"/>
      <c r="D20" s="1462"/>
      <c r="E20" s="1462"/>
      <c r="F20" s="1462"/>
      <c r="G20" s="1460" t="s">
        <v>166</v>
      </c>
      <c r="H20" s="1460" t="s">
        <v>362</v>
      </c>
      <c r="I20" s="1460"/>
      <c r="J20" s="1500" t="s">
        <v>483</v>
      </c>
      <c r="K20" s="1500"/>
      <c r="L20" s="1076" t="s">
        <v>484</v>
      </c>
    </row>
    <row r="21" spans="1:12" x14ac:dyDescent="0.2">
      <c r="A21" s="1462"/>
      <c r="B21" s="1462"/>
      <c r="C21" s="1462"/>
      <c r="D21" s="1462"/>
      <c r="E21" s="1462"/>
      <c r="F21" s="1462"/>
      <c r="G21" s="1460"/>
      <c r="H21" s="943" t="s">
        <v>485</v>
      </c>
      <c r="I21" s="1077" t="s">
        <v>486</v>
      </c>
      <c r="J21" s="943" t="s">
        <v>485</v>
      </c>
      <c r="K21" s="1077" t="s">
        <v>486</v>
      </c>
      <c r="L21" s="1026" t="s">
        <v>487</v>
      </c>
    </row>
    <row r="22" spans="1:12" ht="21.75" customHeight="1" x14ac:dyDescent="0.2">
      <c r="A22" s="1043" t="s">
        <v>379</v>
      </c>
      <c r="B22" s="1130" t="s">
        <v>633</v>
      </c>
      <c r="C22" s="979" t="s">
        <v>442</v>
      </c>
      <c r="D22" s="1520" t="s">
        <v>632</v>
      </c>
      <c r="E22" s="1520"/>
      <c r="F22" s="1520"/>
      <c r="G22" s="1112">
        <v>2</v>
      </c>
      <c r="H22" s="1116">
        <v>0.7</v>
      </c>
      <c r="I22" s="961">
        <v>0.3</v>
      </c>
      <c r="J22" s="1138">
        <v>204.17570000000001</v>
      </c>
      <c r="K22" s="1138">
        <v>60.8142</v>
      </c>
      <c r="L22" s="1138">
        <f>(G22*H22*J22)+(G22*I22*K22)</f>
        <v>322.33449999999999</v>
      </c>
    </row>
    <row r="23" spans="1:12" ht="27" customHeight="1" x14ac:dyDescent="0.2">
      <c r="A23" s="1043" t="s">
        <v>379</v>
      </c>
      <c r="B23" s="1130" t="s">
        <v>655</v>
      </c>
      <c r="C23" s="979" t="s">
        <v>442</v>
      </c>
      <c r="D23" s="1519" t="s">
        <v>656</v>
      </c>
      <c r="E23" s="1519"/>
      <c r="F23" s="1519"/>
      <c r="G23" s="1112">
        <v>1</v>
      </c>
      <c r="H23" s="1116">
        <v>0.71</v>
      </c>
      <c r="I23" s="961">
        <v>0.28999999999999998</v>
      </c>
      <c r="J23" s="1138">
        <v>2.8195000000000001</v>
      </c>
      <c r="K23" s="1138">
        <v>1.9599</v>
      </c>
      <c r="L23" s="1138">
        <f>(G23*H23*J23)+(G23*I23*K23)</f>
        <v>2.5702159999999998</v>
      </c>
    </row>
    <row r="24" spans="1:12" x14ac:dyDescent="0.2">
      <c r="A24" s="1043" t="s">
        <v>379</v>
      </c>
      <c r="B24" s="1130" t="s">
        <v>657</v>
      </c>
      <c r="C24" s="979" t="s">
        <v>442</v>
      </c>
      <c r="D24" s="1519" t="s">
        <v>658</v>
      </c>
      <c r="E24" s="1519"/>
      <c r="F24" s="1519"/>
      <c r="G24" s="1112">
        <v>1</v>
      </c>
      <c r="H24" s="1116">
        <v>0.41</v>
      </c>
      <c r="I24" s="961">
        <v>0.59</v>
      </c>
      <c r="J24" s="1138">
        <v>184.2696</v>
      </c>
      <c r="K24" s="1138">
        <v>79.578100000000006</v>
      </c>
      <c r="L24" s="1138">
        <f>(G24*H24*J24)+(G24*I24*K24)</f>
        <v>122.50161499999999</v>
      </c>
    </row>
    <row r="25" spans="1:12" ht="23.25" customHeight="1" x14ac:dyDescent="0.2">
      <c r="A25" s="1043" t="s">
        <v>379</v>
      </c>
      <c r="B25" s="1131" t="s">
        <v>673</v>
      </c>
      <c r="C25" s="979" t="s">
        <v>442</v>
      </c>
      <c r="D25" s="1479" t="s">
        <v>674</v>
      </c>
      <c r="E25" s="1479"/>
      <c r="F25" s="1479"/>
      <c r="G25" s="1112">
        <v>1</v>
      </c>
      <c r="H25" s="1116">
        <v>1</v>
      </c>
      <c r="I25" s="961">
        <v>0</v>
      </c>
      <c r="J25" s="1138">
        <v>150.01669999999999</v>
      </c>
      <c r="K25" s="1138">
        <v>68.910399999999996</v>
      </c>
      <c r="L25" s="1138">
        <f>(G25*H25*J25)+(G25*I25*K25)</f>
        <v>150.01669999999999</v>
      </c>
    </row>
    <row r="26" spans="1:12" x14ac:dyDescent="0.2">
      <c r="A26" s="1043" t="s">
        <v>379</v>
      </c>
      <c r="B26" s="1130" t="s">
        <v>671</v>
      </c>
      <c r="C26" s="979" t="s">
        <v>442</v>
      </c>
      <c r="D26" s="1519" t="s">
        <v>672</v>
      </c>
      <c r="E26" s="1519"/>
      <c r="F26" s="1519"/>
      <c r="G26" s="1112">
        <v>1</v>
      </c>
      <c r="H26" s="1116">
        <v>0.71</v>
      </c>
      <c r="I26" s="961">
        <v>0.28999999999999998</v>
      </c>
      <c r="J26" s="1138">
        <v>89.639600000000002</v>
      </c>
      <c r="K26" s="1138">
        <v>34.623800000000003</v>
      </c>
      <c r="L26" s="1138">
        <f>(G26*H26*J26)+(G26*I26*K26)</f>
        <v>73.685017999999999</v>
      </c>
    </row>
    <row r="27" spans="1:12" x14ac:dyDescent="0.2">
      <c r="A27" s="1153"/>
      <c r="B27" s="942"/>
      <c r="C27" s="979"/>
      <c r="D27" s="942"/>
      <c r="E27" s="942"/>
      <c r="F27" s="942"/>
      <c r="G27" s="1112"/>
      <c r="H27" s="1116"/>
      <c r="I27" s="961"/>
      <c r="J27" s="1138"/>
      <c r="K27" s="1255"/>
      <c r="L27" s="1138"/>
    </row>
    <row r="28" spans="1:12" x14ac:dyDescent="0.2">
      <c r="A28" s="1153"/>
      <c r="B28" s="942"/>
      <c r="C28" s="979"/>
      <c r="D28" s="942"/>
      <c r="E28" s="942"/>
      <c r="F28" s="942"/>
      <c r="G28" s="1096"/>
      <c r="H28" s="1116"/>
      <c r="I28" s="961"/>
      <c r="J28" s="1246"/>
      <c r="K28" s="1255"/>
      <c r="L28" s="1138"/>
    </row>
    <row r="29" spans="1:12" x14ac:dyDescent="0.2">
      <c r="A29" s="1497" t="s">
        <v>488</v>
      </c>
      <c r="B29" s="1497"/>
      <c r="C29" s="1497"/>
      <c r="D29" s="1497"/>
      <c r="E29" s="1497"/>
      <c r="F29" s="1497"/>
      <c r="G29" s="1497"/>
      <c r="H29" s="1497"/>
      <c r="I29" s="1497"/>
      <c r="J29" s="1497"/>
      <c r="K29" s="1497"/>
      <c r="L29" s="1035">
        <f>ROUND(SUM(L22:L28),4)</f>
        <v>671.10799999999995</v>
      </c>
    </row>
    <row r="30" spans="1:12" x14ac:dyDescent="0.2">
      <c r="A30" s="930"/>
      <c r="B30" s="930"/>
      <c r="C30" s="930"/>
      <c r="D30" s="930"/>
      <c r="E30" s="930"/>
      <c r="F30" s="930"/>
      <c r="G30" s="930"/>
      <c r="H30" s="1023"/>
      <c r="I30" s="1023"/>
      <c r="J30" s="1023"/>
      <c r="K30" s="1023"/>
      <c r="L30" s="1023"/>
    </row>
    <row r="31" spans="1:12" ht="13.9" customHeight="1" x14ac:dyDescent="0.2">
      <c r="A31" s="1462" t="s">
        <v>447</v>
      </c>
      <c r="B31" s="1462"/>
      <c r="C31" s="1462"/>
      <c r="D31" s="1462"/>
      <c r="E31" s="1462"/>
      <c r="F31" s="1462"/>
      <c r="G31" s="1462"/>
      <c r="H31" s="1462"/>
      <c r="I31" s="1462"/>
      <c r="J31" s="1460" t="s">
        <v>166</v>
      </c>
      <c r="K31" s="1452" t="s">
        <v>489</v>
      </c>
      <c r="L31" s="1076" t="s">
        <v>449</v>
      </c>
    </row>
    <row r="32" spans="1:12" x14ac:dyDescent="0.2">
      <c r="A32" s="1462"/>
      <c r="B32" s="1462"/>
      <c r="C32" s="1462"/>
      <c r="D32" s="1462"/>
      <c r="E32" s="1462"/>
      <c r="F32" s="1462"/>
      <c r="G32" s="1462"/>
      <c r="H32" s="1462"/>
      <c r="I32" s="1462"/>
      <c r="J32" s="1460"/>
      <c r="K32" s="1452"/>
      <c r="L32" s="1026" t="s">
        <v>487</v>
      </c>
    </row>
    <row r="33" spans="1:12" x14ac:dyDescent="0.2">
      <c r="A33" s="1043" t="s">
        <v>379</v>
      </c>
      <c r="B33" s="1130" t="s">
        <v>713</v>
      </c>
      <c r="C33" s="979" t="s">
        <v>442</v>
      </c>
      <c r="D33" s="1525" t="s">
        <v>714</v>
      </c>
      <c r="E33" s="1525"/>
      <c r="F33" s="1525"/>
      <c r="G33" s="1525"/>
      <c r="H33" s="1525"/>
      <c r="I33" s="1525"/>
      <c r="J33" s="1080">
        <v>2</v>
      </c>
      <c r="K33" s="1256">
        <v>15.3812</v>
      </c>
      <c r="L33" s="1243">
        <f>J33*K33</f>
        <v>30.7624</v>
      </c>
    </row>
    <row r="34" spans="1:12" x14ac:dyDescent="0.2">
      <c r="A34" s="1043"/>
      <c r="B34" s="1130"/>
      <c r="C34" s="979"/>
      <c r="D34" s="942"/>
      <c r="E34" s="942"/>
      <c r="F34" s="942"/>
      <c r="G34" s="942"/>
      <c r="H34" s="942"/>
      <c r="I34" s="1144"/>
      <c r="J34" s="1080"/>
      <c r="K34" s="1256"/>
      <c r="L34" s="1243"/>
    </row>
    <row r="35" spans="1:12" x14ac:dyDescent="0.2">
      <c r="A35" s="1043"/>
      <c r="B35" s="1130"/>
      <c r="C35" s="979"/>
      <c r="D35" s="942"/>
      <c r="E35" s="942"/>
      <c r="F35" s="942"/>
      <c r="G35" s="942"/>
      <c r="H35" s="942"/>
      <c r="I35" s="1144"/>
      <c r="J35" s="1080"/>
      <c r="K35" s="1256"/>
      <c r="L35" s="1243"/>
    </row>
    <row r="36" spans="1:12" x14ac:dyDescent="0.2">
      <c r="A36" s="1153"/>
      <c r="B36" s="942"/>
      <c r="C36" s="979"/>
      <c r="D36" s="942"/>
      <c r="E36" s="942"/>
      <c r="F36" s="942"/>
      <c r="G36" s="910"/>
      <c r="H36" s="979"/>
      <c r="I36" s="1092"/>
      <c r="J36" s="1080"/>
      <c r="K36" s="1256"/>
      <c r="L36" s="1243">
        <f>J36*K36</f>
        <v>0</v>
      </c>
    </row>
    <row r="37" spans="1:12" x14ac:dyDescent="0.2">
      <c r="A37" s="1082"/>
      <c r="B37" s="1083"/>
      <c r="C37" s="1083"/>
      <c r="D37" s="1083"/>
      <c r="E37" s="1083"/>
      <c r="F37" s="1083"/>
      <c r="G37" s="905"/>
      <c r="H37" s="1077"/>
      <c r="I37" s="1095"/>
      <c r="J37" s="1085"/>
      <c r="K37" s="1256"/>
      <c r="L37" s="1243">
        <f>J37*K37</f>
        <v>0</v>
      </c>
    </row>
    <row r="38" spans="1:12" x14ac:dyDescent="0.2">
      <c r="A38" s="1497" t="s">
        <v>490</v>
      </c>
      <c r="B38" s="1497"/>
      <c r="C38" s="1497"/>
      <c r="D38" s="1497"/>
      <c r="E38" s="1497"/>
      <c r="F38" s="1497"/>
      <c r="G38" s="1497"/>
      <c r="H38" s="1497"/>
      <c r="I38" s="1497"/>
      <c r="J38" s="1497"/>
      <c r="K38" s="1497"/>
      <c r="L38" s="1035">
        <f>ROUND(SUM(L33:L37),4)</f>
        <v>30.7624</v>
      </c>
    </row>
    <row r="39" spans="1:12" x14ac:dyDescent="0.2">
      <c r="A39" s="930"/>
      <c r="B39" s="930"/>
      <c r="C39" s="930"/>
      <c r="D39" s="930"/>
      <c r="E39" s="930"/>
      <c r="F39" s="930"/>
      <c r="G39" s="930"/>
      <c r="H39" s="930"/>
      <c r="I39" s="930"/>
      <c r="J39" s="1023"/>
      <c r="K39" s="1023"/>
      <c r="L39" s="1023"/>
    </row>
    <row r="40" spans="1:12" x14ac:dyDescent="0.2">
      <c r="A40" s="930"/>
      <c r="B40" s="930"/>
      <c r="C40" s="930"/>
      <c r="D40" s="930"/>
      <c r="E40" s="930"/>
      <c r="F40" s="930"/>
      <c r="G40" s="930"/>
      <c r="H40" s="930"/>
      <c r="I40" s="930"/>
      <c r="J40" s="1023"/>
      <c r="K40" s="1100" t="s">
        <v>491</v>
      </c>
      <c r="L40" s="1101">
        <f>L29+L38</f>
        <v>701.8703999999999</v>
      </c>
    </row>
    <row r="41" spans="1:12" x14ac:dyDescent="0.2">
      <c r="A41" s="1102" t="s">
        <v>492</v>
      </c>
      <c r="B41" s="930"/>
      <c r="C41" s="930"/>
      <c r="D41" s="930"/>
      <c r="E41" s="930"/>
      <c r="F41" s="1103">
        <v>228.84</v>
      </c>
      <c r="G41" s="1257" t="str">
        <f>L18</f>
        <v>m³</v>
      </c>
      <c r="H41" s="1102"/>
      <c r="I41" s="930"/>
      <c r="J41" s="1105"/>
      <c r="K41" s="1106" t="s">
        <v>493</v>
      </c>
      <c r="L41" s="1035">
        <f>L40/F41</f>
        <v>3.0670791819611951</v>
      </c>
    </row>
    <row r="42" spans="1:12" x14ac:dyDescent="0.2">
      <c r="A42" s="1102"/>
      <c r="B42" s="930" t="s">
        <v>494</v>
      </c>
      <c r="C42" s="930"/>
      <c r="D42" s="930"/>
      <c r="E42" s="930"/>
      <c r="F42" s="1103">
        <v>4.8980000000000003E-2</v>
      </c>
      <c r="G42" s="1104"/>
      <c r="H42" s="1102"/>
      <c r="I42" s="930"/>
      <c r="J42" s="1105"/>
      <c r="K42" s="1100" t="s">
        <v>495</v>
      </c>
      <c r="L42" s="1035">
        <f>L41*F42</f>
        <v>0.15022553833245936</v>
      </c>
    </row>
    <row r="43" spans="1:12" x14ac:dyDescent="0.2">
      <c r="A43" s="1102"/>
      <c r="B43" s="930" t="s">
        <v>496</v>
      </c>
      <c r="C43" s="930"/>
      <c r="D43" s="930"/>
      <c r="E43" s="930"/>
      <c r="F43" s="1202"/>
      <c r="G43" s="1104"/>
      <c r="H43" s="1105"/>
      <c r="I43" s="1107"/>
      <c r="J43" s="1023"/>
      <c r="K43" s="1100" t="s">
        <v>497</v>
      </c>
      <c r="L43" s="1035">
        <f>L41*F43</f>
        <v>0</v>
      </c>
    </row>
    <row r="44" spans="1:12" x14ac:dyDescent="0.2">
      <c r="A44" s="930"/>
      <c r="B44" s="930"/>
      <c r="C44" s="930"/>
      <c r="D44" s="930"/>
      <c r="E44" s="930"/>
      <c r="F44" s="930"/>
      <c r="G44" s="930"/>
      <c r="H44" s="930"/>
      <c r="I44" s="930"/>
      <c r="J44" s="1023"/>
      <c r="K44" s="1023"/>
      <c r="L44" s="1099"/>
    </row>
    <row r="45" spans="1:12" x14ac:dyDescent="0.2">
      <c r="A45" s="1462" t="s">
        <v>498</v>
      </c>
      <c r="B45" s="1462"/>
      <c r="C45" s="1462"/>
      <c r="D45" s="1462"/>
      <c r="E45" s="1462"/>
      <c r="F45" s="1462"/>
      <c r="G45" s="1462"/>
      <c r="H45" s="1462"/>
      <c r="I45" s="1456" t="s">
        <v>499</v>
      </c>
      <c r="J45" s="1456"/>
      <c r="K45" s="1456"/>
      <c r="L45" s="1108">
        <f>ROUND(SUM(L41:L44),4)</f>
        <v>3.2172999999999998</v>
      </c>
    </row>
    <row r="46" spans="1:12" x14ac:dyDescent="0.2">
      <c r="A46" s="910"/>
      <c r="B46" s="910"/>
      <c r="C46" s="910"/>
      <c r="D46" s="910"/>
      <c r="E46" s="910"/>
      <c r="F46" s="910"/>
      <c r="G46" s="1109"/>
      <c r="H46" s="1109"/>
      <c r="I46" s="933"/>
      <c r="J46" s="933"/>
      <c r="K46" s="933"/>
      <c r="L46" s="910"/>
    </row>
    <row r="47" spans="1:12" x14ac:dyDescent="0.2">
      <c r="A47" s="1462" t="s">
        <v>500</v>
      </c>
      <c r="B47" s="1462"/>
      <c r="C47" s="1462"/>
      <c r="D47" s="1462"/>
      <c r="E47" s="1462"/>
      <c r="F47" s="1462"/>
      <c r="G47" s="1462"/>
      <c r="H47" s="1460" t="s">
        <v>166</v>
      </c>
      <c r="I47" s="1460"/>
      <c r="J47" s="1460" t="s">
        <v>165</v>
      </c>
      <c r="K47" s="1076" t="s">
        <v>501</v>
      </c>
      <c r="L47" s="1076" t="s">
        <v>484</v>
      </c>
    </row>
    <row r="48" spans="1:12" x14ac:dyDescent="0.2">
      <c r="A48" s="1462"/>
      <c r="B48" s="1462"/>
      <c r="C48" s="1462"/>
      <c r="D48" s="1462"/>
      <c r="E48" s="1462"/>
      <c r="F48" s="1462"/>
      <c r="G48" s="1462"/>
      <c r="H48" s="1460"/>
      <c r="I48" s="1460"/>
      <c r="J48" s="1460"/>
      <c r="K48" s="1110" t="s">
        <v>451</v>
      </c>
      <c r="L48" s="1026" t="s">
        <v>451</v>
      </c>
    </row>
    <row r="49" spans="1:12" x14ac:dyDescent="0.2">
      <c r="A49" s="1244"/>
      <c r="B49" s="942"/>
      <c r="C49" s="979"/>
      <c r="D49" s="942"/>
      <c r="E49" s="942"/>
      <c r="F49" s="942"/>
      <c r="G49" s="937"/>
      <c r="H49" s="1521"/>
      <c r="I49" s="1521"/>
      <c r="J49" s="1113"/>
      <c r="K49" s="1256"/>
      <c r="L49" s="1245">
        <f>H49*K49</f>
        <v>0</v>
      </c>
    </row>
    <row r="50" spans="1:12" x14ac:dyDescent="0.2">
      <c r="A50" s="1114"/>
      <c r="B50" s="979"/>
      <c r="C50" s="979"/>
      <c r="D50" s="942"/>
      <c r="E50" s="942"/>
      <c r="F50" s="942"/>
      <c r="G50" s="937"/>
      <c r="H50" s="1495"/>
      <c r="I50" s="1495"/>
      <c r="J50" s="1113"/>
      <c r="K50" s="1256"/>
      <c r="L50" s="1138">
        <f>H50*K50</f>
        <v>0</v>
      </c>
    </row>
    <row r="51" spans="1:12" x14ac:dyDescent="0.2">
      <c r="A51" s="1114"/>
      <c r="B51" s="979"/>
      <c r="C51" s="979"/>
      <c r="D51" s="942"/>
      <c r="E51" s="942"/>
      <c r="F51" s="942"/>
      <c r="G51" s="937"/>
      <c r="H51" s="1495"/>
      <c r="I51" s="1495"/>
      <c r="J51" s="1113"/>
      <c r="K51" s="1256"/>
      <c r="L51" s="1138">
        <f>H51*K51</f>
        <v>0</v>
      </c>
    </row>
    <row r="52" spans="1:12" x14ac:dyDescent="0.2">
      <c r="A52" s="1114"/>
      <c r="B52" s="979"/>
      <c r="C52" s="979">
        <f>-C50</f>
        <v>0</v>
      </c>
      <c r="D52" s="942"/>
      <c r="E52" s="942"/>
      <c r="F52" s="942"/>
      <c r="G52" s="937"/>
      <c r="H52" s="1495"/>
      <c r="I52" s="1495"/>
      <c r="J52" s="1113"/>
      <c r="K52" s="1256"/>
      <c r="L52" s="1138">
        <f>H52*K52</f>
        <v>0</v>
      </c>
    </row>
    <row r="53" spans="1:12" x14ac:dyDescent="0.2">
      <c r="A53" s="1114"/>
      <c r="B53" s="979"/>
      <c r="C53" s="979"/>
      <c r="D53" s="1083"/>
      <c r="E53" s="1083"/>
      <c r="F53" s="1083"/>
      <c r="G53" s="1115"/>
      <c r="H53" s="1512"/>
      <c r="I53" s="1512"/>
      <c r="J53" s="1113"/>
      <c r="K53" s="1256"/>
      <c r="L53" s="1246">
        <f>H53*K53</f>
        <v>0</v>
      </c>
    </row>
    <row r="54" spans="1:12" x14ac:dyDescent="0.2">
      <c r="A54" s="1454" t="s">
        <v>502</v>
      </c>
      <c r="B54" s="1454"/>
      <c r="C54" s="1454"/>
      <c r="D54" s="1454"/>
      <c r="E54" s="1454"/>
      <c r="F54" s="1454"/>
      <c r="G54" s="1454"/>
      <c r="H54" s="1454"/>
      <c r="I54" s="1454"/>
      <c r="J54" s="1454"/>
      <c r="K54" s="1454"/>
      <c r="L54" s="1108">
        <f>ROUND(SUM(L49:L53),4)</f>
        <v>0</v>
      </c>
    </row>
    <row r="55" spans="1:12" x14ac:dyDescent="0.2">
      <c r="A55" s="932"/>
      <c r="B55" s="932"/>
      <c r="C55" s="932"/>
      <c r="D55" s="932"/>
      <c r="E55" s="932"/>
      <c r="F55" s="932"/>
      <c r="G55" s="932"/>
      <c r="H55" s="932"/>
      <c r="I55" s="932"/>
      <c r="J55" s="910"/>
      <c r="K55" s="1117"/>
      <c r="L55" s="1118"/>
    </row>
    <row r="56" spans="1:12" ht="13.9" customHeight="1" x14ac:dyDescent="0.2">
      <c r="A56" s="1462" t="s">
        <v>503</v>
      </c>
      <c r="B56" s="1462"/>
      <c r="C56" s="1462"/>
      <c r="D56" s="1462"/>
      <c r="E56" s="1462"/>
      <c r="F56" s="1462"/>
      <c r="G56" s="1452" t="s">
        <v>504</v>
      </c>
      <c r="H56" s="1460" t="s">
        <v>505</v>
      </c>
      <c r="I56" s="1460"/>
      <c r="J56" s="1460"/>
      <c r="K56" s="1460"/>
      <c r="L56" s="1460" t="s">
        <v>506</v>
      </c>
    </row>
    <row r="57" spans="1:12" x14ac:dyDescent="0.2">
      <c r="A57" s="1462"/>
      <c r="B57" s="1462"/>
      <c r="C57" s="1462"/>
      <c r="D57" s="1462"/>
      <c r="E57" s="1462"/>
      <c r="F57" s="1462"/>
      <c r="G57" s="1452"/>
      <c r="H57" s="944" t="s">
        <v>112</v>
      </c>
      <c r="I57" s="1095" t="s">
        <v>380</v>
      </c>
      <c r="J57" s="1026" t="s">
        <v>383</v>
      </c>
      <c r="K57" s="1110" t="s">
        <v>385</v>
      </c>
      <c r="L57" s="1460"/>
    </row>
    <row r="58" spans="1:12" x14ac:dyDescent="0.2">
      <c r="A58" s="1462"/>
      <c r="B58" s="1462"/>
      <c r="C58" s="1462"/>
      <c r="D58" s="1462"/>
      <c r="E58" s="1462"/>
      <c r="F58" s="1462"/>
      <c r="G58" s="1452"/>
      <c r="H58" s="943" t="s">
        <v>507</v>
      </c>
      <c r="I58" s="1119"/>
      <c r="J58" s="1119"/>
      <c r="K58" s="1119"/>
      <c r="L58" s="1460"/>
    </row>
    <row r="59" spans="1:12" x14ac:dyDescent="0.2">
      <c r="A59" s="1488"/>
      <c r="B59" s="1489"/>
      <c r="C59" s="1490"/>
      <c r="D59" s="1502"/>
      <c r="E59" s="1502"/>
      <c r="F59" s="1503"/>
      <c r="G59" s="1493">
        <f>ROUND(H49/1000,5)</f>
        <v>0</v>
      </c>
      <c r="H59" s="1120" t="s">
        <v>508</v>
      </c>
      <c r="I59" s="1121"/>
      <c r="J59" s="1121"/>
      <c r="K59" s="1121"/>
      <c r="L59" s="1494">
        <f>G59*($I$58*I60+$J$58*J60+$K$58*K60)</f>
        <v>0</v>
      </c>
    </row>
    <row r="60" spans="1:12" x14ac:dyDescent="0.2">
      <c r="A60" s="1488"/>
      <c r="B60" s="1489"/>
      <c r="C60" s="1490"/>
      <c r="D60" s="1502"/>
      <c r="E60" s="1502"/>
      <c r="F60" s="1503"/>
      <c r="G60" s="1493"/>
      <c r="H60" s="1122" t="s">
        <v>509</v>
      </c>
      <c r="I60" s="1123"/>
      <c r="J60" s="1123"/>
      <c r="K60" s="1123"/>
      <c r="L60" s="1494"/>
    </row>
    <row r="61" spans="1:12" x14ac:dyDescent="0.2">
      <c r="A61" s="1043"/>
      <c r="B61" s="958"/>
      <c r="C61" s="979"/>
      <c r="D61" s="1151"/>
      <c r="E61" s="1151"/>
      <c r="F61" s="1141"/>
      <c r="G61" s="1112"/>
      <c r="H61" s="1235"/>
      <c r="I61" s="1236"/>
      <c r="J61" s="961"/>
      <c r="K61" s="1116"/>
      <c r="L61" s="986"/>
    </row>
    <row r="62" spans="1:12" ht="10.9" customHeight="1" x14ac:dyDescent="0.2">
      <c r="A62" s="1114"/>
      <c r="B62" s="979"/>
      <c r="C62" s="979"/>
      <c r="D62" s="1083"/>
      <c r="E62" s="1083"/>
      <c r="F62" s="1083"/>
      <c r="G62" s="1135"/>
      <c r="H62" s="1247"/>
      <c r="I62" s="1247"/>
      <c r="J62" s="1137"/>
      <c r="K62" s="1044"/>
      <c r="L62" s="1138">
        <f>G62*H62*K62</f>
        <v>0</v>
      </c>
    </row>
    <row r="63" spans="1:12" x14ac:dyDescent="0.2">
      <c r="A63" s="1454" t="s">
        <v>510</v>
      </c>
      <c r="B63" s="1454"/>
      <c r="C63" s="1454"/>
      <c r="D63" s="1454"/>
      <c r="E63" s="1454"/>
      <c r="F63" s="1454"/>
      <c r="G63" s="1454"/>
      <c r="H63" s="1454"/>
      <c r="I63" s="1454"/>
      <c r="J63" s="1454"/>
      <c r="K63" s="1454"/>
      <c r="L63" s="1025">
        <f>ROUND(SUM(L59:L62),4)</f>
        <v>0</v>
      </c>
    </row>
    <row r="64" spans="1:12" x14ac:dyDescent="0.2">
      <c r="A64" s="1049"/>
      <c r="B64" s="1049"/>
      <c r="C64" s="1049"/>
      <c r="D64" s="1049"/>
      <c r="E64" s="1049"/>
      <c r="F64" s="1049"/>
      <c r="G64" s="932"/>
      <c r="H64" s="1050"/>
      <c r="I64" s="1050"/>
      <c r="J64" s="1051"/>
      <c r="K64" s="1052"/>
      <c r="L64" s="1053"/>
    </row>
    <row r="65" spans="1:12" x14ac:dyDescent="0.2">
      <c r="A65" s="1454" t="s">
        <v>460</v>
      </c>
      <c r="B65" s="1454"/>
      <c r="C65" s="1454"/>
      <c r="D65" s="1454"/>
      <c r="E65" s="1454"/>
      <c r="F65" s="1454"/>
      <c r="G65" s="1454"/>
      <c r="H65" s="1454"/>
      <c r="I65" s="1454"/>
      <c r="J65" s="1454"/>
      <c r="K65" s="1454"/>
      <c r="L65" s="1025">
        <f>ROUND(L45+L54+L63,4)</f>
        <v>3.2172999999999998</v>
      </c>
    </row>
    <row r="66" spans="1:12" x14ac:dyDescent="0.2">
      <c r="A66" s="1455" t="s">
        <v>461</v>
      </c>
      <c r="B66" s="1455"/>
      <c r="C66" s="1455"/>
      <c r="D66" s="1455"/>
      <c r="E66" s="1455"/>
      <c r="F66" s="1455"/>
      <c r="G66" s="1455"/>
      <c r="H66" s="1455"/>
      <c r="I66" s="1455"/>
      <c r="J66" s="1455"/>
      <c r="K66" s="1055">
        <v>0.25569999999999998</v>
      </c>
      <c r="L66" s="1025">
        <f>ROUND(L65*K66,4)</f>
        <v>0.82269999999999999</v>
      </c>
    </row>
    <row r="67" spans="1:12" x14ac:dyDescent="0.2">
      <c r="A67" s="1456" t="s">
        <v>462</v>
      </c>
      <c r="B67" s="1456"/>
      <c r="C67" s="1456"/>
      <c r="D67" s="1456"/>
      <c r="E67" s="1456"/>
      <c r="F67" s="1456"/>
      <c r="G67" s="1456"/>
      <c r="H67" s="1456"/>
      <c r="I67" s="1456"/>
      <c r="J67" s="1456"/>
      <c r="K67" s="1456"/>
      <c r="L67" s="1126">
        <f>ROUND(L65+L66,2)</f>
        <v>4.04</v>
      </c>
    </row>
    <row r="68" spans="1:12" x14ac:dyDescent="0.2">
      <c r="A68" s="1058"/>
      <c r="B68" s="1058"/>
      <c r="C68" s="1058"/>
      <c r="D68" s="1058"/>
      <c r="E68" s="1058"/>
      <c r="F68" s="1058"/>
      <c r="G68" s="1058"/>
      <c r="H68" s="1058"/>
      <c r="I68" s="1058"/>
      <c r="J68" s="1058"/>
      <c r="K68" s="1058"/>
      <c r="L68" s="1058"/>
    </row>
    <row r="69" spans="1:12" ht="27.75" customHeight="1" x14ac:dyDescent="0.2">
      <c r="A69" s="1059" t="s">
        <v>463</v>
      </c>
      <c r="B69" s="1060"/>
      <c r="C69" s="1518" t="s">
        <v>588</v>
      </c>
      <c r="D69" s="1518"/>
      <c r="E69" s="1518"/>
      <c r="F69" s="1518"/>
      <c r="G69" s="1518"/>
      <c r="H69" s="1518"/>
      <c r="I69" s="1518"/>
      <c r="J69" s="1518"/>
      <c r="K69" s="1518"/>
      <c r="L69" s="1518"/>
    </row>
    <row r="70" spans="1:12" ht="13.9" customHeight="1" x14ac:dyDescent="0.2">
      <c r="A70" s="1210"/>
      <c r="B70" s="1184"/>
      <c r="C70" s="1506" t="s">
        <v>575</v>
      </c>
      <c r="D70" s="1506"/>
      <c r="E70" s="1506"/>
      <c r="F70" s="1506"/>
      <c r="G70" s="1506"/>
      <c r="H70" s="1506"/>
      <c r="I70" s="1506"/>
      <c r="J70" s="1506"/>
      <c r="K70" s="1506"/>
      <c r="L70" s="1506"/>
    </row>
    <row r="71" spans="1:12" ht="9" customHeight="1" x14ac:dyDescent="0.2">
      <c r="A71" s="1210"/>
      <c r="B71" s="1184"/>
      <c r="C71" s="1184"/>
      <c r="D71" s="1184"/>
      <c r="E71" s="1184"/>
      <c r="F71" s="1184"/>
      <c r="G71" s="1184"/>
      <c r="H71" s="1184"/>
      <c r="I71" s="1184"/>
      <c r="J71" s="1184"/>
      <c r="K71" s="1184"/>
      <c r="L71" s="1253"/>
    </row>
    <row r="72" spans="1:12" x14ac:dyDescent="0.2">
      <c r="A72" s="1071"/>
      <c r="B72" s="1129"/>
      <c r="C72" s="1129"/>
      <c r="D72" s="1129"/>
      <c r="E72" s="1129"/>
      <c r="F72" s="1129"/>
      <c r="G72" s="1129"/>
      <c r="H72" s="1129"/>
      <c r="I72" s="1129"/>
      <c r="J72" s="1129"/>
      <c r="K72" s="1129"/>
      <c r="L72" s="1254"/>
    </row>
  </sheetData>
  <mergeCells count="55">
    <mergeCell ref="A1:L1"/>
    <mergeCell ref="A2:L2"/>
    <mergeCell ref="A3:L3"/>
    <mergeCell ref="A4:L4"/>
    <mergeCell ref="A5:K5"/>
    <mergeCell ref="A6:K6"/>
    <mergeCell ref="A7:K7"/>
    <mergeCell ref="L7:L8"/>
    <mergeCell ref="A10:L10"/>
    <mergeCell ref="A12:D12"/>
    <mergeCell ref="A15:L16"/>
    <mergeCell ref="E18:J18"/>
    <mergeCell ref="A20:F21"/>
    <mergeCell ref="G20:G21"/>
    <mergeCell ref="H20:I20"/>
    <mergeCell ref="J20:K20"/>
    <mergeCell ref="D22:F22"/>
    <mergeCell ref="D23:F23"/>
    <mergeCell ref="D24:F24"/>
    <mergeCell ref="D25:F25"/>
    <mergeCell ref="D26:F26"/>
    <mergeCell ref="A29:K29"/>
    <mergeCell ref="A31:I32"/>
    <mergeCell ref="J31:J32"/>
    <mergeCell ref="K31:K32"/>
    <mergeCell ref="D33:I33"/>
    <mergeCell ref="A38:K38"/>
    <mergeCell ref="A45:H45"/>
    <mergeCell ref="I45:K45"/>
    <mergeCell ref="A47:G48"/>
    <mergeCell ref="H47:I48"/>
    <mergeCell ref="J47:J48"/>
    <mergeCell ref="H49:I49"/>
    <mergeCell ref="H50:I50"/>
    <mergeCell ref="H51:I51"/>
    <mergeCell ref="H52:I52"/>
    <mergeCell ref="H53:I53"/>
    <mergeCell ref="A54:K54"/>
    <mergeCell ref="A56:F58"/>
    <mergeCell ref="G56:G58"/>
    <mergeCell ref="H56:K56"/>
    <mergeCell ref="L56:L58"/>
    <mergeCell ref="A67:K67"/>
    <mergeCell ref="C69:L69"/>
    <mergeCell ref="C70:L70"/>
    <mergeCell ref="G59:G60"/>
    <mergeCell ref="L59:L60"/>
    <mergeCell ref="A63:K63"/>
    <mergeCell ref="A65:K65"/>
    <mergeCell ref="A66:J66"/>
    <mergeCell ref="A59:A60"/>
    <mergeCell ref="B59:B60"/>
    <mergeCell ref="C59:C60"/>
    <mergeCell ref="D59:E60"/>
    <mergeCell ref="F59:F60"/>
  </mergeCells>
  <dataValidations count="1">
    <dataValidation allowBlank="1" showInputMessage="1" showErrorMessage="1" prompt="Clique duas vezes sobre o número do item para ser direcionado à Planilha Orçamentária." sqref="D18" xr:uid="{00000000-0002-0000-1100-000000000000}">
      <formula1>0</formula1>
      <formula2>0</formula2>
    </dataValidation>
  </dataValidations>
  <printOptions horizontalCentered="1" verticalCentered="1"/>
  <pageMargins left="0.51180555555555496" right="0.51180555555555496" top="0.78749999999999998" bottom="0.78749999999999998" header="0.51180555555555496" footer="0.51180555555555496"/>
  <pageSetup paperSize="9" scale="70" firstPageNumber="0"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71"/>
  <sheetViews>
    <sheetView topLeftCell="A49" zoomScale="83" zoomScaleNormal="83" workbookViewId="0">
      <selection activeCell="P139" sqref="P139"/>
    </sheetView>
  </sheetViews>
  <sheetFormatPr defaultRowHeight="15" x14ac:dyDescent="0.2"/>
  <cols>
    <col min="1" max="2" width="7.6640625" style="902" customWidth="1"/>
    <col min="3" max="3" width="1.4765625" style="902" customWidth="1"/>
    <col min="4" max="4" width="3.765625" style="902" customWidth="1"/>
    <col min="5" max="5" width="23.67578125" style="902" customWidth="1"/>
    <col min="6" max="6" width="12.64453125" style="902" customWidth="1"/>
    <col min="7" max="7" width="8.7421875" style="902" customWidth="1"/>
    <col min="8" max="8" width="9.28125" style="902" customWidth="1"/>
    <col min="9" max="11" width="8.7421875" style="902" customWidth="1"/>
    <col min="12" max="12" width="10.76171875" style="902" customWidth="1"/>
    <col min="13" max="1025" width="8.7421875" customWidth="1"/>
  </cols>
  <sheetData>
    <row r="1" spans="1:12" x14ac:dyDescent="0.2">
      <c r="A1" s="1474"/>
      <c r="B1" s="1474"/>
      <c r="C1" s="1474"/>
      <c r="D1" s="1474"/>
      <c r="E1" s="1474"/>
      <c r="F1" s="1474"/>
      <c r="G1" s="1474"/>
      <c r="H1" s="1474"/>
      <c r="I1" s="1474"/>
      <c r="J1" s="1474"/>
      <c r="K1" s="1474"/>
      <c r="L1" s="1474"/>
    </row>
    <row r="2" spans="1:12" x14ac:dyDescent="0.2">
      <c r="A2" s="1475" t="s">
        <v>629</v>
      </c>
      <c r="B2" s="1475"/>
      <c r="C2" s="1475"/>
      <c r="D2" s="1475"/>
      <c r="E2" s="1475"/>
      <c r="F2" s="1475"/>
      <c r="G2" s="1475"/>
      <c r="H2" s="1475"/>
      <c r="I2" s="1475"/>
      <c r="J2" s="1475"/>
      <c r="K2" s="1475"/>
      <c r="L2" s="1475"/>
    </row>
    <row r="3" spans="1:12" x14ac:dyDescent="0.2">
      <c r="A3" s="1474"/>
      <c r="B3" s="1474"/>
      <c r="C3" s="1474"/>
      <c r="D3" s="1474"/>
      <c r="E3" s="1474"/>
      <c r="F3" s="1474"/>
      <c r="G3" s="1474"/>
      <c r="H3" s="1474"/>
      <c r="I3" s="1474"/>
      <c r="J3" s="1474"/>
      <c r="K3" s="1474"/>
      <c r="L3" s="1474"/>
    </row>
    <row r="4" spans="1:12" x14ac:dyDescent="0.2">
      <c r="A4" s="1476"/>
      <c r="B4" s="1476"/>
      <c r="C4" s="1476"/>
      <c r="D4" s="1476"/>
      <c r="E4" s="1476"/>
      <c r="F4" s="1476"/>
      <c r="G4" s="1476"/>
      <c r="H4" s="1476"/>
      <c r="I4" s="1476"/>
      <c r="J4" s="1476"/>
      <c r="K4" s="1476"/>
      <c r="L4" s="1476"/>
    </row>
    <row r="5" spans="1:12" x14ac:dyDescent="0.2">
      <c r="A5" s="1477"/>
      <c r="B5" s="1477"/>
      <c r="C5" s="1477"/>
      <c r="D5" s="1477"/>
      <c r="E5" s="1477"/>
      <c r="F5" s="1477"/>
      <c r="G5" s="1477"/>
      <c r="H5" s="1477"/>
      <c r="I5" s="1477"/>
      <c r="J5" s="1477"/>
      <c r="K5" s="1477"/>
      <c r="L5" s="903" t="s">
        <v>419</v>
      </c>
    </row>
    <row r="6" spans="1:12" x14ac:dyDescent="0.2">
      <c r="A6" s="1469"/>
      <c r="B6" s="1469"/>
      <c r="C6" s="1469"/>
      <c r="D6" s="1469"/>
      <c r="E6" s="1469"/>
      <c r="F6" s="1469"/>
      <c r="G6" s="1469"/>
      <c r="H6" s="1469"/>
      <c r="I6" s="1469"/>
      <c r="J6" s="1469"/>
      <c r="K6" s="1469"/>
      <c r="L6" s="1075"/>
    </row>
    <row r="7" spans="1:12" ht="13.9" customHeight="1" x14ac:dyDescent="0.2">
      <c r="A7" s="1469"/>
      <c r="B7" s="1469"/>
      <c r="C7" s="1469"/>
      <c r="D7" s="1469"/>
      <c r="E7" s="1469"/>
      <c r="F7" s="1469"/>
      <c r="G7" s="1469"/>
      <c r="H7" s="1469"/>
      <c r="I7" s="1469"/>
      <c r="J7" s="1469"/>
      <c r="K7" s="1469"/>
      <c r="L7" s="1470" t="s">
        <v>191</v>
      </c>
    </row>
    <row r="8" spans="1:12" x14ac:dyDescent="0.2">
      <c r="A8" s="904"/>
      <c r="B8" s="905"/>
      <c r="C8" s="906"/>
      <c r="D8" s="907"/>
      <c r="E8" s="908"/>
      <c r="F8" s="906"/>
      <c r="G8" s="906"/>
      <c r="H8" s="906"/>
      <c r="I8" s="906"/>
      <c r="J8" s="906"/>
      <c r="K8" s="909"/>
      <c r="L8" s="1470"/>
    </row>
    <row r="9" spans="1:12" x14ac:dyDescent="0.2">
      <c r="A9" s="910"/>
      <c r="B9" s="910"/>
      <c r="C9" s="911"/>
      <c r="D9" s="912"/>
      <c r="E9" s="912"/>
      <c r="F9" s="913"/>
      <c r="G9" s="913"/>
      <c r="H9" s="913"/>
      <c r="I9" s="913"/>
      <c r="J9" s="913"/>
      <c r="K9" s="913"/>
      <c r="L9" s="914"/>
    </row>
    <row r="10" spans="1:12" x14ac:dyDescent="0.2">
      <c r="A10" s="1471"/>
      <c r="B10" s="1471"/>
      <c r="C10" s="1471"/>
      <c r="D10" s="1471"/>
      <c r="E10" s="1471"/>
      <c r="F10" s="1471"/>
      <c r="G10" s="1471"/>
      <c r="H10" s="1471"/>
      <c r="I10" s="1471"/>
      <c r="J10" s="1471"/>
      <c r="K10" s="1471"/>
      <c r="L10" s="1471"/>
    </row>
    <row r="11" spans="1:12" x14ac:dyDescent="0.2">
      <c r="A11" s="915"/>
      <c r="B11" s="912"/>
      <c r="C11" s="911"/>
      <c r="D11" s="912"/>
      <c r="E11" s="911"/>
      <c r="F11" s="911"/>
      <c r="G11" s="911"/>
      <c r="H11" s="911"/>
      <c r="I11" s="911"/>
      <c r="J11" s="911"/>
      <c r="K11" s="911"/>
      <c r="L11" s="916"/>
    </row>
    <row r="12" spans="1:12" x14ac:dyDescent="0.2">
      <c r="A12" s="1472" t="s">
        <v>421</v>
      </c>
      <c r="B12" s="1472"/>
      <c r="C12" s="1472"/>
      <c r="D12" s="1472"/>
      <c r="E12" s="917" t="s">
        <v>648</v>
      </c>
      <c r="F12" s="918"/>
      <c r="G12" s="918"/>
      <c r="H12" s="918"/>
      <c r="I12" s="918"/>
      <c r="J12" s="918"/>
      <c r="K12" s="918"/>
      <c r="L12" s="919"/>
    </row>
    <row r="13" spans="1:12" x14ac:dyDescent="0.2">
      <c r="A13" s="920"/>
      <c r="B13" s="907"/>
      <c r="C13" s="921"/>
      <c r="D13" s="907"/>
      <c r="E13" s="907"/>
      <c r="F13" s="906"/>
      <c r="G13" s="906"/>
      <c r="H13" s="906"/>
      <c r="I13" s="906"/>
      <c r="J13" s="906"/>
      <c r="K13" s="906"/>
      <c r="L13" s="922"/>
    </row>
    <row r="14" spans="1:12" x14ac:dyDescent="0.2">
      <c r="A14" s="913"/>
      <c r="B14" s="913"/>
      <c r="C14" s="913"/>
      <c r="D14" s="913"/>
      <c r="E14" s="913"/>
      <c r="F14" s="913"/>
      <c r="G14" s="913"/>
      <c r="H14" s="913"/>
      <c r="I14" s="913"/>
      <c r="J14" s="913"/>
      <c r="K14" s="913"/>
      <c r="L14" s="914"/>
    </row>
    <row r="15" spans="1:12" x14ac:dyDescent="0.2">
      <c r="A15" s="1473" t="s">
        <v>422</v>
      </c>
      <c r="B15" s="1473"/>
      <c r="C15" s="1473"/>
      <c r="D15" s="1473"/>
      <c r="E15" s="1473"/>
      <c r="F15" s="1473"/>
      <c r="G15" s="1473"/>
      <c r="H15" s="1473"/>
      <c r="I15" s="1473"/>
      <c r="J15" s="1473"/>
      <c r="K15" s="1473"/>
      <c r="L15" s="1473"/>
    </row>
    <row r="16" spans="1:12" x14ac:dyDescent="0.2">
      <c r="A16" s="1473"/>
      <c r="B16" s="1473"/>
      <c r="C16" s="1473"/>
      <c r="D16" s="1473"/>
      <c r="E16" s="1473"/>
      <c r="F16" s="1473"/>
      <c r="G16" s="1473"/>
      <c r="H16" s="1473"/>
      <c r="I16" s="1473"/>
      <c r="J16" s="1473"/>
      <c r="K16" s="1473"/>
      <c r="L16" s="1473"/>
    </row>
    <row r="17" spans="1:12" x14ac:dyDescent="0.2">
      <c r="A17" s="923"/>
      <c r="B17" s="923"/>
      <c r="C17" s="923"/>
      <c r="D17" s="923"/>
      <c r="E17" s="923"/>
      <c r="F17" s="923"/>
      <c r="G17" s="923"/>
      <c r="H17" s="923"/>
      <c r="I17" s="923"/>
      <c r="J17" s="923"/>
      <c r="K17" s="923"/>
      <c r="L17" s="923"/>
    </row>
    <row r="18" spans="1:12" x14ac:dyDescent="0.2">
      <c r="A18" s="924" t="s">
        <v>423</v>
      </c>
      <c r="B18" s="925"/>
      <c r="C18" s="925"/>
      <c r="D18" s="1258" t="s">
        <v>191</v>
      </c>
      <c r="E18" s="1466" t="s">
        <v>589</v>
      </c>
      <c r="F18" s="1466"/>
      <c r="G18" s="1466"/>
      <c r="H18" s="1466"/>
      <c r="I18" s="1466"/>
      <c r="J18" s="1466"/>
      <c r="K18" s="928" t="s">
        <v>425</v>
      </c>
      <c r="L18" s="929" t="s">
        <v>590</v>
      </c>
    </row>
    <row r="19" spans="1:12" x14ac:dyDescent="0.2">
      <c r="A19" s="910"/>
      <c r="B19" s="910"/>
      <c r="C19" s="910"/>
      <c r="D19" s="910"/>
      <c r="E19" s="910"/>
      <c r="F19" s="910"/>
      <c r="G19" s="910"/>
      <c r="H19" s="910"/>
      <c r="I19" s="910"/>
      <c r="J19" s="910"/>
      <c r="K19" s="910"/>
      <c r="L19" s="910"/>
    </row>
    <row r="20" spans="1:12" x14ac:dyDescent="0.2">
      <c r="A20" s="1462" t="s">
        <v>434</v>
      </c>
      <c r="B20" s="1462"/>
      <c r="C20" s="1462"/>
      <c r="D20" s="1462"/>
      <c r="E20" s="1462"/>
      <c r="F20" s="1462"/>
      <c r="G20" s="1460" t="s">
        <v>166</v>
      </c>
      <c r="H20" s="1460" t="s">
        <v>362</v>
      </c>
      <c r="I20" s="1460"/>
      <c r="J20" s="1500" t="s">
        <v>483</v>
      </c>
      <c r="K20" s="1500"/>
      <c r="L20" s="1076" t="s">
        <v>484</v>
      </c>
    </row>
    <row r="21" spans="1:12" x14ac:dyDescent="0.2">
      <c r="A21" s="1462"/>
      <c r="B21" s="1462"/>
      <c r="C21" s="1462"/>
      <c r="D21" s="1462"/>
      <c r="E21" s="1462"/>
      <c r="F21" s="1462"/>
      <c r="G21" s="1460"/>
      <c r="H21" s="943" t="s">
        <v>485</v>
      </c>
      <c r="I21" s="1077" t="s">
        <v>486</v>
      </c>
      <c r="J21" s="943" t="s">
        <v>485</v>
      </c>
      <c r="K21" s="1077" t="s">
        <v>486</v>
      </c>
      <c r="L21" s="1026" t="s">
        <v>487</v>
      </c>
    </row>
    <row r="22" spans="1:12" x14ac:dyDescent="0.2">
      <c r="A22" s="1043" t="s">
        <v>379</v>
      </c>
      <c r="B22" s="1130" t="s">
        <v>657</v>
      </c>
      <c r="C22" s="979" t="s">
        <v>442</v>
      </c>
      <c r="D22" s="1527" t="s">
        <v>658</v>
      </c>
      <c r="E22" s="1527"/>
      <c r="F22" s="1527"/>
      <c r="G22" s="1112">
        <v>1</v>
      </c>
      <c r="H22" s="1116">
        <v>1</v>
      </c>
      <c r="I22" s="961">
        <v>0</v>
      </c>
      <c r="J22" s="1138">
        <v>184.2696</v>
      </c>
      <c r="K22" s="1138">
        <v>79.578100000000006</v>
      </c>
      <c r="L22" s="1138">
        <f>(G22*H22*J22)+(G22*I22*K22)</f>
        <v>184.2696</v>
      </c>
    </row>
    <row r="23" spans="1:12" x14ac:dyDescent="0.2">
      <c r="A23" s="1153"/>
      <c r="B23" s="942"/>
      <c r="C23" s="979"/>
      <c r="D23" s="942"/>
      <c r="E23" s="942"/>
      <c r="F23" s="942"/>
      <c r="G23" s="1112"/>
      <c r="H23" s="1116"/>
      <c r="I23" s="961"/>
      <c r="J23" s="1138"/>
      <c r="K23" s="1255"/>
      <c r="L23" s="1138">
        <f>(G23*H23*J23)+(G23*I23*K23)</f>
        <v>0</v>
      </c>
    </row>
    <row r="24" spans="1:12" x14ac:dyDescent="0.2">
      <c r="A24" s="1153"/>
      <c r="B24" s="942"/>
      <c r="C24" s="979"/>
      <c r="D24" s="942"/>
      <c r="E24" s="942"/>
      <c r="F24" s="942"/>
      <c r="G24" s="1112"/>
      <c r="H24" s="1116"/>
      <c r="I24" s="961"/>
      <c r="J24" s="1138"/>
      <c r="K24" s="1255"/>
      <c r="L24" s="1138">
        <f>(G24*H24*J24)+(G24*I24*K24)</f>
        <v>0</v>
      </c>
    </row>
    <row r="25" spans="1:12" x14ac:dyDescent="0.2">
      <c r="A25" s="1153"/>
      <c r="B25" s="942"/>
      <c r="C25" s="979"/>
      <c r="D25" s="942"/>
      <c r="E25" s="942"/>
      <c r="F25" s="942"/>
      <c r="G25" s="1112"/>
      <c r="H25" s="1116"/>
      <c r="I25" s="961"/>
      <c r="J25" s="1138"/>
      <c r="K25" s="1255"/>
      <c r="L25" s="1138">
        <f>(G25*H25*J25)+(G25*I25*K25)</f>
        <v>0</v>
      </c>
    </row>
    <row r="26" spans="1:12" x14ac:dyDescent="0.2">
      <c r="A26" s="1153"/>
      <c r="B26" s="942"/>
      <c r="C26" s="979"/>
      <c r="D26" s="942"/>
      <c r="E26" s="942"/>
      <c r="F26" s="942"/>
      <c r="G26" s="1112"/>
      <c r="H26" s="1116"/>
      <c r="I26" s="961"/>
      <c r="J26" s="1138"/>
      <c r="K26" s="1255"/>
      <c r="L26" s="1138"/>
    </row>
    <row r="27" spans="1:12" x14ac:dyDescent="0.2">
      <c r="A27" s="1153"/>
      <c r="B27" s="942"/>
      <c r="C27" s="979"/>
      <c r="D27" s="942"/>
      <c r="E27" s="942"/>
      <c r="F27" s="942"/>
      <c r="G27" s="1112"/>
      <c r="H27" s="1116"/>
      <c r="I27" s="961"/>
      <c r="J27" s="1138"/>
      <c r="K27" s="1255"/>
      <c r="L27" s="1138"/>
    </row>
    <row r="28" spans="1:12" x14ac:dyDescent="0.2">
      <c r="A28" s="1153"/>
      <c r="B28" s="942"/>
      <c r="C28" s="979"/>
      <c r="D28" s="942"/>
      <c r="E28" s="942"/>
      <c r="F28" s="942"/>
      <c r="G28" s="1096"/>
      <c r="H28" s="1116"/>
      <c r="I28" s="961"/>
      <c r="J28" s="1246"/>
      <c r="K28" s="1255"/>
      <c r="L28" s="1138"/>
    </row>
    <row r="29" spans="1:12" x14ac:dyDescent="0.2">
      <c r="A29" s="1497" t="s">
        <v>488</v>
      </c>
      <c r="B29" s="1497"/>
      <c r="C29" s="1497"/>
      <c r="D29" s="1497"/>
      <c r="E29" s="1497"/>
      <c r="F29" s="1497"/>
      <c r="G29" s="1497"/>
      <c r="H29" s="1497"/>
      <c r="I29" s="1497"/>
      <c r="J29" s="1497"/>
      <c r="K29" s="1497"/>
      <c r="L29" s="1035">
        <f>ROUND(SUM(L22:L28),4)</f>
        <v>184.2696</v>
      </c>
    </row>
    <row r="30" spans="1:12" x14ac:dyDescent="0.2">
      <c r="A30" s="930"/>
      <c r="B30" s="930"/>
      <c r="C30" s="930"/>
      <c r="D30" s="930"/>
      <c r="E30" s="930"/>
      <c r="F30" s="930"/>
      <c r="G30" s="930"/>
      <c r="H30" s="1023"/>
      <c r="I30" s="1023"/>
      <c r="J30" s="1023"/>
      <c r="K30" s="1023"/>
      <c r="L30" s="1023"/>
    </row>
    <row r="31" spans="1:12" ht="13.9" customHeight="1" x14ac:dyDescent="0.2">
      <c r="A31" s="1462" t="s">
        <v>447</v>
      </c>
      <c r="B31" s="1462"/>
      <c r="C31" s="1462"/>
      <c r="D31" s="1462"/>
      <c r="E31" s="1462"/>
      <c r="F31" s="1462"/>
      <c r="G31" s="1462"/>
      <c r="H31" s="1462"/>
      <c r="I31" s="1462"/>
      <c r="J31" s="1460" t="s">
        <v>166</v>
      </c>
      <c r="K31" s="1452" t="s">
        <v>489</v>
      </c>
      <c r="L31" s="1076" t="s">
        <v>449</v>
      </c>
    </row>
    <row r="32" spans="1:12" x14ac:dyDescent="0.2">
      <c r="A32" s="1462"/>
      <c r="B32" s="1462"/>
      <c r="C32" s="1462"/>
      <c r="D32" s="1462"/>
      <c r="E32" s="1462"/>
      <c r="F32" s="1462"/>
      <c r="G32" s="1462"/>
      <c r="H32" s="1462"/>
      <c r="I32" s="1462"/>
      <c r="J32" s="1460"/>
      <c r="K32" s="1452"/>
      <c r="L32" s="1026" t="s">
        <v>487</v>
      </c>
    </row>
    <row r="33" spans="1:12" x14ac:dyDescent="0.2">
      <c r="A33" s="1043" t="s">
        <v>379</v>
      </c>
      <c r="B33" s="1130" t="s">
        <v>713</v>
      </c>
      <c r="C33" s="979" t="s">
        <v>442</v>
      </c>
      <c r="D33" s="1525" t="s">
        <v>714</v>
      </c>
      <c r="E33" s="1525"/>
      <c r="F33" s="1525"/>
      <c r="G33" s="1525"/>
      <c r="H33" s="1525"/>
      <c r="I33" s="1525"/>
      <c r="J33" s="1080">
        <v>1</v>
      </c>
      <c r="K33" s="1256">
        <v>15.3812</v>
      </c>
      <c r="L33" s="1243">
        <f>J33*K33</f>
        <v>15.3812</v>
      </c>
    </row>
    <row r="34" spans="1:12" x14ac:dyDescent="0.2">
      <c r="A34" s="1153"/>
      <c r="B34" s="942"/>
      <c r="C34" s="979"/>
      <c r="D34" s="942"/>
      <c r="E34" s="942"/>
      <c r="F34" s="942"/>
      <c r="G34" s="910"/>
      <c r="H34" s="979"/>
      <c r="I34" s="1092"/>
      <c r="J34" s="1080"/>
      <c r="K34" s="1256"/>
      <c r="L34" s="1243">
        <f>J34*K34</f>
        <v>0</v>
      </c>
    </row>
    <row r="35" spans="1:12" x14ac:dyDescent="0.2">
      <c r="A35" s="1153"/>
      <c r="B35" s="942"/>
      <c r="C35" s="979"/>
      <c r="D35" s="942"/>
      <c r="E35" s="942"/>
      <c r="F35" s="942"/>
      <c r="G35" s="910"/>
      <c r="H35" s="979"/>
      <c r="I35" s="1092"/>
      <c r="J35" s="1080"/>
      <c r="K35" s="1256"/>
      <c r="L35" s="1243"/>
    </row>
    <row r="36" spans="1:12" x14ac:dyDescent="0.2">
      <c r="A36" s="1082"/>
      <c r="B36" s="1083"/>
      <c r="C36" s="1083"/>
      <c r="D36" s="1083"/>
      <c r="E36" s="1083"/>
      <c r="F36" s="1083"/>
      <c r="G36" s="905"/>
      <c r="H36" s="1077"/>
      <c r="I36" s="1095"/>
      <c r="J36" s="1085"/>
      <c r="K36" s="1256"/>
      <c r="L36" s="1243">
        <f>J36*K36</f>
        <v>0</v>
      </c>
    </row>
    <row r="37" spans="1:12" x14ac:dyDescent="0.2">
      <c r="A37" s="1497" t="s">
        <v>490</v>
      </c>
      <c r="B37" s="1497"/>
      <c r="C37" s="1497"/>
      <c r="D37" s="1497"/>
      <c r="E37" s="1497"/>
      <c r="F37" s="1497"/>
      <c r="G37" s="1497"/>
      <c r="H37" s="1497"/>
      <c r="I37" s="1497"/>
      <c r="J37" s="1497"/>
      <c r="K37" s="1497"/>
      <c r="L37" s="1035">
        <f>ROUND(SUM(L33:L36),4)</f>
        <v>15.3812</v>
      </c>
    </row>
    <row r="38" spans="1:12" x14ac:dyDescent="0.2">
      <c r="A38" s="930"/>
      <c r="B38" s="930"/>
      <c r="C38" s="930"/>
      <c r="D38" s="930"/>
      <c r="E38" s="930"/>
      <c r="F38" s="930"/>
      <c r="G38" s="930"/>
      <c r="H38" s="930"/>
      <c r="I38" s="930"/>
      <c r="J38" s="1023"/>
      <c r="K38" s="1023"/>
      <c r="L38" s="1023"/>
    </row>
    <row r="39" spans="1:12" x14ac:dyDescent="0.2">
      <c r="A39" s="930"/>
      <c r="B39" s="930"/>
      <c r="C39" s="930"/>
      <c r="D39" s="930"/>
      <c r="E39" s="930"/>
      <c r="F39" s="930"/>
      <c r="G39" s="930"/>
      <c r="H39" s="930"/>
      <c r="I39" s="930"/>
      <c r="J39" s="1023"/>
      <c r="K39" s="1100" t="s">
        <v>491</v>
      </c>
      <c r="L39" s="1101">
        <f>L29+L37</f>
        <v>199.6508</v>
      </c>
    </row>
    <row r="40" spans="1:12" x14ac:dyDescent="0.2">
      <c r="A40" s="1102" t="s">
        <v>492</v>
      </c>
      <c r="B40" s="930"/>
      <c r="C40" s="930"/>
      <c r="D40" s="930"/>
      <c r="E40" s="930"/>
      <c r="F40" s="1103">
        <v>1</v>
      </c>
      <c r="G40" s="1257" t="str">
        <f>L18</f>
        <v xml:space="preserve">ha </v>
      </c>
      <c r="H40" s="1102"/>
      <c r="I40" s="930"/>
      <c r="J40" s="1105"/>
      <c r="K40" s="1106" t="s">
        <v>493</v>
      </c>
      <c r="L40" s="1035">
        <f>L39/F40</f>
        <v>199.6508</v>
      </c>
    </row>
    <row r="41" spans="1:12" x14ac:dyDescent="0.2">
      <c r="A41" s="1102"/>
      <c r="B41" s="930" t="s">
        <v>494</v>
      </c>
      <c r="C41" s="930"/>
      <c r="D41" s="930"/>
      <c r="E41" s="930"/>
      <c r="F41" s="1103">
        <v>4.8980000000000003E-2</v>
      </c>
      <c r="G41" s="1104"/>
      <c r="H41" s="1102"/>
      <c r="I41" s="930"/>
      <c r="J41" s="1105"/>
      <c r="K41" s="1100" t="s">
        <v>495</v>
      </c>
      <c r="L41" s="1035">
        <f>L40*F41</f>
        <v>9.7788961840000006</v>
      </c>
    </row>
    <row r="42" spans="1:12" x14ac:dyDescent="0.2">
      <c r="A42" s="1102"/>
      <c r="B42" s="930" t="s">
        <v>496</v>
      </c>
      <c r="C42" s="930"/>
      <c r="D42" s="930"/>
      <c r="E42" s="930"/>
      <c r="F42" s="1202"/>
      <c r="G42" s="1104"/>
      <c r="H42" s="1105"/>
      <c r="I42" s="1107"/>
      <c r="J42" s="1023"/>
      <c r="K42" s="1100" t="s">
        <v>497</v>
      </c>
      <c r="L42" s="1035">
        <f>L40*F42</f>
        <v>0</v>
      </c>
    </row>
    <row r="43" spans="1:12" x14ac:dyDescent="0.2">
      <c r="A43" s="930"/>
      <c r="B43" s="930"/>
      <c r="C43" s="930"/>
      <c r="D43" s="930"/>
      <c r="E43" s="930"/>
      <c r="F43" s="930"/>
      <c r="G43" s="930"/>
      <c r="H43" s="930"/>
      <c r="I43" s="930"/>
      <c r="J43" s="1023"/>
      <c r="K43" s="1023"/>
      <c r="L43" s="1099"/>
    </row>
    <row r="44" spans="1:12" x14ac:dyDescent="0.2">
      <c r="A44" s="1462" t="s">
        <v>498</v>
      </c>
      <c r="B44" s="1462"/>
      <c r="C44" s="1462"/>
      <c r="D44" s="1462"/>
      <c r="E44" s="1462"/>
      <c r="F44" s="1462"/>
      <c r="G44" s="1462"/>
      <c r="H44" s="1462"/>
      <c r="I44" s="1456" t="s">
        <v>499</v>
      </c>
      <c r="J44" s="1456"/>
      <c r="K44" s="1456"/>
      <c r="L44" s="1108">
        <f>ROUND(SUM(L40:L43),4)</f>
        <v>209.4297</v>
      </c>
    </row>
    <row r="45" spans="1:12" x14ac:dyDescent="0.2">
      <c r="A45" s="910"/>
      <c r="B45" s="910"/>
      <c r="C45" s="910"/>
      <c r="D45" s="910"/>
      <c r="E45" s="910"/>
      <c r="F45" s="910"/>
      <c r="G45" s="1109"/>
      <c r="H45" s="1109"/>
      <c r="I45" s="933"/>
      <c r="J45" s="933"/>
      <c r="K45" s="933"/>
      <c r="L45" s="910"/>
    </row>
    <row r="46" spans="1:12" x14ac:dyDescent="0.2">
      <c r="A46" s="1462" t="s">
        <v>500</v>
      </c>
      <c r="B46" s="1462"/>
      <c r="C46" s="1462"/>
      <c r="D46" s="1462"/>
      <c r="E46" s="1462"/>
      <c r="F46" s="1462"/>
      <c r="G46" s="1462"/>
      <c r="H46" s="1460" t="s">
        <v>166</v>
      </c>
      <c r="I46" s="1460"/>
      <c r="J46" s="1460" t="s">
        <v>165</v>
      </c>
      <c r="K46" s="1076" t="s">
        <v>501</v>
      </c>
      <c r="L46" s="1076" t="s">
        <v>484</v>
      </c>
    </row>
    <row r="47" spans="1:12" x14ac:dyDescent="0.2">
      <c r="A47" s="1462"/>
      <c r="B47" s="1462"/>
      <c r="C47" s="1462"/>
      <c r="D47" s="1462"/>
      <c r="E47" s="1462"/>
      <c r="F47" s="1462"/>
      <c r="G47" s="1462"/>
      <c r="H47" s="1460"/>
      <c r="I47" s="1460"/>
      <c r="J47" s="1460"/>
      <c r="K47" s="1110" t="s">
        <v>451</v>
      </c>
      <c r="L47" s="1026" t="s">
        <v>451</v>
      </c>
    </row>
    <row r="48" spans="1:12" x14ac:dyDescent="0.2">
      <c r="A48" s="1244"/>
      <c r="B48" s="942"/>
      <c r="C48" s="979"/>
      <c r="D48" s="942"/>
      <c r="E48" s="942"/>
      <c r="F48" s="942"/>
      <c r="G48" s="937"/>
      <c r="H48" s="1521"/>
      <c r="I48" s="1521"/>
      <c r="J48" s="1113"/>
      <c r="K48" s="1256"/>
      <c r="L48" s="1245">
        <f>H48*K48</f>
        <v>0</v>
      </c>
    </row>
    <row r="49" spans="1:12" x14ac:dyDescent="0.2">
      <c r="A49" s="1114"/>
      <c r="B49" s="979"/>
      <c r="C49" s="979"/>
      <c r="D49" s="942"/>
      <c r="E49" s="942"/>
      <c r="F49" s="942"/>
      <c r="G49" s="937"/>
      <c r="H49" s="1495"/>
      <c r="I49" s="1495"/>
      <c r="J49" s="1113"/>
      <c r="K49" s="1256"/>
      <c r="L49" s="1138">
        <f>H49*K49</f>
        <v>0</v>
      </c>
    </row>
    <row r="50" spans="1:12" x14ac:dyDescent="0.2">
      <c r="A50" s="1114"/>
      <c r="B50" s="979"/>
      <c r="C50" s="979"/>
      <c r="D50" s="942"/>
      <c r="E50" s="942"/>
      <c r="F50" s="942"/>
      <c r="G50" s="937"/>
      <c r="H50" s="1495"/>
      <c r="I50" s="1495"/>
      <c r="J50" s="1113"/>
      <c r="K50" s="1256"/>
      <c r="L50" s="1138">
        <f>H50*K50</f>
        <v>0</v>
      </c>
    </row>
    <row r="51" spans="1:12" x14ac:dyDescent="0.2">
      <c r="A51" s="1114"/>
      <c r="B51" s="979"/>
      <c r="C51" s="979">
        <f>-C49</f>
        <v>0</v>
      </c>
      <c r="D51" s="942"/>
      <c r="E51" s="942"/>
      <c r="F51" s="942"/>
      <c r="G51" s="937"/>
      <c r="H51" s="1495"/>
      <c r="I51" s="1495"/>
      <c r="J51" s="1113"/>
      <c r="K51" s="1256"/>
      <c r="L51" s="1138">
        <f>H51*K51</f>
        <v>0</v>
      </c>
    </row>
    <row r="52" spans="1:12" x14ac:dyDescent="0.2">
      <c r="A52" s="1114"/>
      <c r="B52" s="979"/>
      <c r="C52" s="979"/>
      <c r="D52" s="1083"/>
      <c r="E52" s="1083"/>
      <c r="F52" s="1083"/>
      <c r="G52" s="1115"/>
      <c r="H52" s="1512"/>
      <c r="I52" s="1512"/>
      <c r="J52" s="1113"/>
      <c r="K52" s="1256"/>
      <c r="L52" s="1246">
        <f>H52*K52</f>
        <v>0</v>
      </c>
    </row>
    <row r="53" spans="1:12" x14ac:dyDescent="0.2">
      <c r="A53" s="1454" t="s">
        <v>502</v>
      </c>
      <c r="B53" s="1454"/>
      <c r="C53" s="1454"/>
      <c r="D53" s="1454"/>
      <c r="E53" s="1454"/>
      <c r="F53" s="1454"/>
      <c r="G53" s="1454"/>
      <c r="H53" s="1454"/>
      <c r="I53" s="1454"/>
      <c r="J53" s="1454"/>
      <c r="K53" s="1454"/>
      <c r="L53" s="1259">
        <f>ROUND(SUM(L48:L52),4)</f>
        <v>0</v>
      </c>
    </row>
    <row r="54" spans="1:12" x14ac:dyDescent="0.2">
      <c r="A54" s="932"/>
      <c r="B54" s="932"/>
      <c r="C54" s="932"/>
      <c r="D54" s="932"/>
      <c r="E54" s="932"/>
      <c r="F54" s="932"/>
      <c r="G54" s="932"/>
      <c r="H54" s="932"/>
      <c r="I54" s="932"/>
      <c r="J54" s="910"/>
      <c r="K54" s="1117"/>
      <c r="L54" s="1118"/>
    </row>
    <row r="55" spans="1:12" ht="13.9" customHeight="1" x14ac:dyDescent="0.2">
      <c r="A55" s="1462" t="s">
        <v>503</v>
      </c>
      <c r="B55" s="1462"/>
      <c r="C55" s="1462"/>
      <c r="D55" s="1462"/>
      <c r="E55" s="1462"/>
      <c r="F55" s="1462"/>
      <c r="G55" s="1452" t="s">
        <v>504</v>
      </c>
      <c r="H55" s="1460" t="s">
        <v>505</v>
      </c>
      <c r="I55" s="1460"/>
      <c r="J55" s="1460"/>
      <c r="K55" s="1460"/>
      <c r="L55" s="1460" t="s">
        <v>506</v>
      </c>
    </row>
    <row r="56" spans="1:12" x14ac:dyDescent="0.2">
      <c r="A56" s="1462"/>
      <c r="B56" s="1462"/>
      <c r="C56" s="1462"/>
      <c r="D56" s="1462"/>
      <c r="E56" s="1462"/>
      <c r="F56" s="1462"/>
      <c r="G56" s="1452"/>
      <c r="H56" s="944" t="s">
        <v>112</v>
      </c>
      <c r="I56" s="1095" t="s">
        <v>380</v>
      </c>
      <c r="J56" s="1026" t="s">
        <v>383</v>
      </c>
      <c r="K56" s="1110" t="s">
        <v>385</v>
      </c>
      <c r="L56" s="1460"/>
    </row>
    <row r="57" spans="1:12" x14ac:dyDescent="0.2">
      <c r="A57" s="1462"/>
      <c r="B57" s="1462"/>
      <c r="C57" s="1462"/>
      <c r="D57" s="1462"/>
      <c r="E57" s="1462"/>
      <c r="F57" s="1462"/>
      <c r="G57" s="1452"/>
      <c r="H57" s="943" t="s">
        <v>507</v>
      </c>
      <c r="I57" s="1119"/>
      <c r="J57" s="1119"/>
      <c r="K57" s="1119"/>
      <c r="L57" s="1460"/>
    </row>
    <row r="58" spans="1:12" x14ac:dyDescent="0.2">
      <c r="A58" s="1488"/>
      <c r="B58" s="1489"/>
      <c r="C58" s="1490"/>
      <c r="D58" s="1502"/>
      <c r="E58" s="1502"/>
      <c r="F58" s="1503"/>
      <c r="G58" s="1493">
        <f>ROUND(H48/1000,5)</f>
        <v>0</v>
      </c>
      <c r="H58" s="1120" t="s">
        <v>508</v>
      </c>
      <c r="I58" s="1121"/>
      <c r="J58" s="1121"/>
      <c r="K58" s="1121"/>
      <c r="L58" s="1494">
        <f>G58*($I$57*I59+$J$57*J59+$K$57*K59)</f>
        <v>0</v>
      </c>
    </row>
    <row r="59" spans="1:12" x14ac:dyDescent="0.2">
      <c r="A59" s="1488"/>
      <c r="B59" s="1489"/>
      <c r="C59" s="1490"/>
      <c r="D59" s="1502"/>
      <c r="E59" s="1502"/>
      <c r="F59" s="1503"/>
      <c r="G59" s="1493"/>
      <c r="H59" s="1122" t="s">
        <v>509</v>
      </c>
      <c r="I59" s="1123"/>
      <c r="J59" s="1123"/>
      <c r="K59" s="1123"/>
      <c r="L59" s="1494"/>
    </row>
    <row r="60" spans="1:12" x14ac:dyDescent="0.2">
      <c r="A60" s="1043"/>
      <c r="B60" s="958"/>
      <c r="C60" s="979"/>
      <c r="D60" s="1151"/>
      <c r="E60" s="1151"/>
      <c r="F60" s="1141"/>
      <c r="G60" s="1112"/>
      <c r="H60" s="1235"/>
      <c r="I60" s="1236"/>
      <c r="J60" s="961"/>
      <c r="K60" s="1116"/>
      <c r="L60" s="986"/>
    </row>
    <row r="61" spans="1:12" x14ac:dyDescent="0.2">
      <c r="A61" s="1114"/>
      <c r="B61" s="979"/>
      <c r="C61" s="979"/>
      <c r="D61" s="1083"/>
      <c r="E61" s="1083"/>
      <c r="F61" s="1083"/>
      <c r="G61" s="1135"/>
      <c r="H61" s="1247"/>
      <c r="I61" s="1247"/>
      <c r="J61" s="1137"/>
      <c r="K61" s="1044"/>
      <c r="L61" s="1138">
        <f>G61*H61*K61</f>
        <v>0</v>
      </c>
    </row>
    <row r="62" spans="1:12" x14ac:dyDescent="0.2">
      <c r="A62" s="1454" t="s">
        <v>510</v>
      </c>
      <c r="B62" s="1454"/>
      <c r="C62" s="1454"/>
      <c r="D62" s="1454"/>
      <c r="E62" s="1454"/>
      <c r="F62" s="1454"/>
      <c r="G62" s="1454"/>
      <c r="H62" s="1454"/>
      <c r="I62" s="1454"/>
      <c r="J62" s="1454"/>
      <c r="K62" s="1454"/>
      <c r="L62" s="1025">
        <f>ROUND(SUM(L58:L61),4)</f>
        <v>0</v>
      </c>
    </row>
    <row r="63" spans="1:12" x14ac:dyDescent="0.2">
      <c r="A63" s="1049"/>
      <c r="B63" s="1049"/>
      <c r="C63" s="1049"/>
      <c r="D63" s="1049"/>
      <c r="E63" s="1049"/>
      <c r="F63" s="1049"/>
      <c r="G63" s="932"/>
      <c r="H63" s="1050"/>
      <c r="I63" s="1050"/>
      <c r="J63" s="1051"/>
      <c r="K63" s="1052"/>
      <c r="L63" s="1053"/>
    </row>
    <row r="64" spans="1:12" x14ac:dyDescent="0.2">
      <c r="A64" s="1454" t="s">
        <v>460</v>
      </c>
      <c r="B64" s="1454"/>
      <c r="C64" s="1454"/>
      <c r="D64" s="1454"/>
      <c r="E64" s="1454"/>
      <c r="F64" s="1454"/>
      <c r="G64" s="1454"/>
      <c r="H64" s="1454"/>
      <c r="I64" s="1454"/>
      <c r="J64" s="1454"/>
      <c r="K64" s="1454"/>
      <c r="L64" s="1025">
        <f>ROUND(L44+L53+L62,4)</f>
        <v>209.4297</v>
      </c>
    </row>
    <row r="65" spans="1:12" x14ac:dyDescent="0.2">
      <c r="A65" s="1455" t="s">
        <v>461</v>
      </c>
      <c r="B65" s="1455"/>
      <c r="C65" s="1455"/>
      <c r="D65" s="1455"/>
      <c r="E65" s="1455"/>
      <c r="F65" s="1455"/>
      <c r="G65" s="1455"/>
      <c r="H65" s="1455"/>
      <c r="I65" s="1455"/>
      <c r="J65" s="1455"/>
      <c r="K65" s="1055">
        <v>0.25569999999999998</v>
      </c>
      <c r="L65" s="1025">
        <f>ROUND(L64*K65,4)</f>
        <v>53.551200000000001</v>
      </c>
    </row>
    <row r="66" spans="1:12" x14ac:dyDescent="0.2">
      <c r="A66" s="1456" t="s">
        <v>462</v>
      </c>
      <c r="B66" s="1456"/>
      <c r="C66" s="1456"/>
      <c r="D66" s="1456"/>
      <c r="E66" s="1456"/>
      <c r="F66" s="1456"/>
      <c r="G66" s="1456"/>
      <c r="H66" s="1456"/>
      <c r="I66" s="1456"/>
      <c r="J66" s="1456"/>
      <c r="K66" s="1456"/>
      <c r="L66" s="1126">
        <f>ROUND(L64+L65,2)</f>
        <v>262.98</v>
      </c>
    </row>
    <row r="67" spans="1:12" x14ac:dyDescent="0.2">
      <c r="A67" s="1058"/>
      <c r="B67" s="1058"/>
      <c r="C67" s="1058"/>
      <c r="D67" s="1058"/>
      <c r="E67" s="1058"/>
      <c r="F67" s="1058"/>
      <c r="G67" s="1058"/>
      <c r="H67" s="1058"/>
      <c r="I67" s="1058"/>
      <c r="J67" s="1058"/>
      <c r="K67" s="1058"/>
      <c r="L67" s="1058"/>
    </row>
    <row r="68" spans="1:12" ht="24.75" customHeight="1" x14ac:dyDescent="0.2">
      <c r="A68" s="1059" t="s">
        <v>463</v>
      </c>
      <c r="B68" s="1060"/>
      <c r="C68" s="1518" t="s">
        <v>591</v>
      </c>
      <c r="D68" s="1518"/>
      <c r="E68" s="1518"/>
      <c r="F68" s="1518"/>
      <c r="G68" s="1518"/>
      <c r="H68" s="1518"/>
      <c r="I68" s="1518"/>
      <c r="J68" s="1518"/>
      <c r="K68" s="1518"/>
      <c r="L68" s="1518"/>
    </row>
    <row r="69" spans="1:12" ht="13.9" customHeight="1" x14ac:dyDescent="0.2">
      <c r="A69" s="1210"/>
      <c r="B69" s="1184"/>
      <c r="C69" s="1506" t="s">
        <v>575</v>
      </c>
      <c r="D69" s="1506"/>
      <c r="E69" s="1506"/>
      <c r="F69" s="1506"/>
      <c r="G69" s="1506"/>
      <c r="H69" s="1506"/>
      <c r="I69" s="1506"/>
      <c r="J69" s="1506"/>
      <c r="K69" s="1506"/>
      <c r="L69" s="1506"/>
    </row>
    <row r="70" spans="1:12" x14ac:dyDescent="0.2">
      <c r="A70" s="1210"/>
      <c r="B70" s="1184"/>
      <c r="C70" s="1184"/>
      <c r="D70" s="1184"/>
      <c r="E70" s="1184"/>
      <c r="F70" s="1184"/>
      <c r="G70" s="1184"/>
      <c r="H70" s="1184"/>
      <c r="I70" s="1184"/>
      <c r="J70" s="1184"/>
      <c r="K70" s="1184"/>
      <c r="L70" s="1253"/>
    </row>
    <row r="71" spans="1:12" x14ac:dyDescent="0.2">
      <c r="A71" s="1071"/>
      <c r="B71" s="1129"/>
      <c r="C71" s="1129"/>
      <c r="D71" s="1129"/>
      <c r="E71" s="1129"/>
      <c r="F71" s="1129"/>
      <c r="G71" s="1129"/>
      <c r="H71" s="1129"/>
      <c r="I71" s="1129"/>
      <c r="J71" s="1129"/>
      <c r="K71" s="1129"/>
      <c r="L71" s="1254"/>
    </row>
  </sheetData>
  <mergeCells count="51">
    <mergeCell ref="A1:L1"/>
    <mergeCell ref="A2:L2"/>
    <mergeCell ref="A3:L3"/>
    <mergeCell ref="A4:L4"/>
    <mergeCell ref="A5:K5"/>
    <mergeCell ref="A6:K6"/>
    <mergeCell ref="A7:K7"/>
    <mergeCell ref="L7:L8"/>
    <mergeCell ref="A10:L10"/>
    <mergeCell ref="A12:D12"/>
    <mergeCell ref="A15:L16"/>
    <mergeCell ref="E18:J18"/>
    <mergeCell ref="A20:F21"/>
    <mergeCell ref="G20:G21"/>
    <mergeCell ref="H20:I20"/>
    <mergeCell ref="J20:K20"/>
    <mergeCell ref="D22:F22"/>
    <mergeCell ref="A29:K29"/>
    <mergeCell ref="A31:I32"/>
    <mergeCell ref="J31:J32"/>
    <mergeCell ref="K31:K32"/>
    <mergeCell ref="D33:I33"/>
    <mergeCell ref="A37:K37"/>
    <mergeCell ref="A44:H44"/>
    <mergeCell ref="I44:K44"/>
    <mergeCell ref="A46:G47"/>
    <mergeCell ref="H46:I47"/>
    <mergeCell ref="J46:J47"/>
    <mergeCell ref="H48:I48"/>
    <mergeCell ref="H49:I49"/>
    <mergeCell ref="H50:I50"/>
    <mergeCell ref="H51:I51"/>
    <mergeCell ref="H52:I52"/>
    <mergeCell ref="A53:K53"/>
    <mergeCell ref="A55:F57"/>
    <mergeCell ref="G55:G57"/>
    <mergeCell ref="H55:K55"/>
    <mergeCell ref="L55:L57"/>
    <mergeCell ref="A66:K66"/>
    <mergeCell ref="C68:L68"/>
    <mergeCell ref="C69:L69"/>
    <mergeCell ref="G58:G59"/>
    <mergeCell ref="L58:L59"/>
    <mergeCell ref="A62:K62"/>
    <mergeCell ref="A64:K64"/>
    <mergeCell ref="A65:J65"/>
    <mergeCell ref="A58:A59"/>
    <mergeCell ref="B58:B59"/>
    <mergeCell ref="C58:C59"/>
    <mergeCell ref="D58:E59"/>
    <mergeCell ref="F58:F59"/>
  </mergeCells>
  <dataValidations count="1">
    <dataValidation allowBlank="1" showInputMessage="1" showErrorMessage="1" prompt="Clique duas vezes sobre o número do item para ser direcionado à Planilha Orçamentária." sqref="D18" xr:uid="{00000000-0002-0000-1200-000000000000}">
      <formula1>0</formula1>
      <formula2>0</formula2>
    </dataValidation>
  </dataValidations>
  <printOptions horizontalCentered="1" verticalCentered="1"/>
  <pageMargins left="0.51180555555555496" right="0.51180555555555496" top="0.78749999999999998" bottom="0.78749999999999998" header="0.51180555555555496" footer="0.51180555555555496"/>
  <pageSetup paperSize="9" scale="71"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45"/>
  <sheetViews>
    <sheetView topLeftCell="F128" zoomScaleNormal="100" zoomScalePageLayoutView="60" workbookViewId="0">
      <selection activeCell="N148" sqref="N148"/>
    </sheetView>
  </sheetViews>
  <sheetFormatPr defaultRowHeight="15" x14ac:dyDescent="0.2"/>
  <cols>
    <col min="1" max="2" width="7.12890625" style="120" customWidth="1"/>
    <col min="3" max="3" width="11.56640625" style="120" customWidth="1"/>
    <col min="4" max="4" width="13.71875" style="120" customWidth="1"/>
    <col min="5" max="5" width="12.10546875" style="120" customWidth="1"/>
    <col min="6" max="6" width="10.35546875" style="120" customWidth="1"/>
    <col min="7" max="7" width="38.47265625" style="120" customWidth="1"/>
    <col min="8" max="8" width="11.1640625" style="120" customWidth="1"/>
    <col min="9" max="10" width="11.97265625" style="120" customWidth="1"/>
    <col min="11" max="12" width="9.68359375" style="120" customWidth="1"/>
    <col min="13" max="13" width="22.05859375" style="120" customWidth="1"/>
    <col min="14" max="14" width="10.22265625" style="120" customWidth="1"/>
    <col min="15" max="15" width="12.10546875" style="120" customWidth="1"/>
    <col min="16" max="16" width="15.46875" style="120" customWidth="1"/>
    <col min="17" max="17" width="13.44921875" style="120" customWidth="1"/>
    <col min="18" max="1025" width="8.7421875" customWidth="1"/>
  </cols>
  <sheetData>
    <row r="1" spans="1:15" hidden="1" x14ac:dyDescent="0.2">
      <c r="H1" s="121"/>
      <c r="I1" s="122"/>
      <c r="J1" s="122"/>
    </row>
    <row r="2" spans="1:15" hidden="1" x14ac:dyDescent="0.2">
      <c r="A2" s="123" t="s">
        <v>43</v>
      </c>
      <c r="B2" s="123"/>
      <c r="C2" s="123"/>
      <c r="D2" s="123"/>
      <c r="F2" s="120" t="s">
        <v>44</v>
      </c>
      <c r="H2" s="120" t="s">
        <v>45</v>
      </c>
      <c r="I2" s="124"/>
      <c r="J2" s="124"/>
      <c r="O2" s="120" t="s">
        <v>46</v>
      </c>
    </row>
    <row r="3" spans="1:15" hidden="1" x14ac:dyDescent="0.2">
      <c r="A3" s="123" t="s">
        <v>47</v>
      </c>
      <c r="B3" s="123"/>
      <c r="C3" s="123"/>
      <c r="D3" s="123"/>
      <c r="F3" s="120" t="s">
        <v>48</v>
      </c>
      <c r="H3" s="120" t="s">
        <v>49</v>
      </c>
      <c r="I3" s="124"/>
      <c r="J3" s="124"/>
      <c r="K3" s="120" t="s">
        <v>50</v>
      </c>
      <c r="O3" s="120" t="s">
        <v>51</v>
      </c>
    </row>
    <row r="4" spans="1:15" hidden="1" x14ac:dyDescent="0.2">
      <c r="A4" s="123" t="s">
        <v>52</v>
      </c>
      <c r="B4" s="123"/>
      <c r="C4" s="123"/>
      <c r="D4" s="123"/>
      <c r="H4" s="120" t="s">
        <v>53</v>
      </c>
      <c r="I4" s="124"/>
      <c r="J4" s="124"/>
      <c r="K4" s="120" t="s">
        <v>54</v>
      </c>
    </row>
    <row r="5" spans="1:15" hidden="1" x14ac:dyDescent="0.2">
      <c r="A5" s="123" t="s">
        <v>55</v>
      </c>
      <c r="B5" s="123"/>
      <c r="C5" s="123"/>
      <c r="D5" s="123"/>
      <c r="H5" s="120" t="s">
        <v>56</v>
      </c>
      <c r="I5" s="124"/>
      <c r="J5" s="124"/>
    </row>
    <row r="6" spans="1:15" hidden="1" x14ac:dyDescent="0.2">
      <c r="A6" s="123" t="s">
        <v>57</v>
      </c>
      <c r="B6" s="123"/>
      <c r="C6" s="123"/>
      <c r="D6" s="123"/>
      <c r="H6" s="120" t="s">
        <v>58</v>
      </c>
      <c r="I6" s="124"/>
      <c r="J6" s="124"/>
    </row>
    <row r="7" spans="1:15" hidden="1" x14ac:dyDescent="0.2">
      <c r="A7" s="123" t="s">
        <v>59</v>
      </c>
      <c r="B7" s="123"/>
      <c r="C7" s="123"/>
      <c r="D7" s="123"/>
      <c r="H7" s="120" t="s">
        <v>60</v>
      </c>
      <c r="I7" s="124"/>
      <c r="J7" s="124"/>
    </row>
    <row r="8" spans="1:15" hidden="1" x14ac:dyDescent="0.2">
      <c r="A8" s="123" t="s">
        <v>61</v>
      </c>
      <c r="B8" s="123"/>
      <c r="C8" s="123"/>
      <c r="D8" s="123"/>
      <c r="H8" s="120" t="s">
        <v>62</v>
      </c>
      <c r="I8" s="124"/>
      <c r="J8" s="124"/>
    </row>
    <row r="9" spans="1:15" hidden="1" x14ac:dyDescent="0.2">
      <c r="A9" s="123" t="s">
        <v>63</v>
      </c>
      <c r="B9" s="123"/>
      <c r="C9" s="123"/>
      <c r="D9" s="123"/>
      <c r="H9" s="120" t="s">
        <v>64</v>
      </c>
      <c r="I9" s="124"/>
      <c r="J9" s="124"/>
    </row>
    <row r="10" spans="1:15" hidden="1" x14ac:dyDescent="0.2">
      <c r="A10" s="120" t="s">
        <v>65</v>
      </c>
      <c r="B10" s="123"/>
      <c r="C10" s="123"/>
      <c r="D10" s="123"/>
      <c r="H10" s="120" t="s">
        <v>66</v>
      </c>
    </row>
    <row r="11" spans="1:15" hidden="1" x14ac:dyDescent="0.2">
      <c r="A11" s="120" t="s">
        <v>67</v>
      </c>
      <c r="B11" s="123"/>
      <c r="C11" s="123"/>
      <c r="D11" s="123"/>
      <c r="H11" s="120" t="s">
        <v>68</v>
      </c>
    </row>
    <row r="12" spans="1:15" hidden="1" x14ac:dyDescent="0.2">
      <c r="A12" s="123" t="s">
        <v>69</v>
      </c>
      <c r="B12" s="123"/>
      <c r="C12" s="123"/>
      <c r="D12" s="123"/>
      <c r="H12" s="120" t="s">
        <v>70</v>
      </c>
    </row>
    <row r="13" spans="1:15" hidden="1" x14ac:dyDescent="0.2">
      <c r="A13" s="123" t="s">
        <v>71</v>
      </c>
      <c r="B13" s="123"/>
      <c r="C13" s="123"/>
      <c r="D13" s="123"/>
      <c r="H13" s="120" t="s">
        <v>72</v>
      </c>
    </row>
    <row r="14" spans="1:15" hidden="1" x14ac:dyDescent="0.2">
      <c r="A14" s="123"/>
      <c r="B14" s="123"/>
      <c r="C14" s="123"/>
      <c r="D14" s="123"/>
      <c r="H14" s="120" t="s">
        <v>73</v>
      </c>
    </row>
    <row r="15" spans="1:15" hidden="1" x14ac:dyDescent="0.2">
      <c r="A15" s="123"/>
      <c r="B15" s="123"/>
      <c r="C15" s="123"/>
      <c r="D15" s="123"/>
      <c r="H15" s="120" t="s">
        <v>74</v>
      </c>
    </row>
    <row r="16" spans="1:15" hidden="1" x14ac:dyDescent="0.2">
      <c r="A16" s="123"/>
      <c r="B16" s="123"/>
      <c r="C16" s="123"/>
      <c r="D16" s="123"/>
      <c r="H16" s="120" t="s">
        <v>75</v>
      </c>
    </row>
    <row r="17" spans="1:17" hidden="1" x14ac:dyDescent="0.2">
      <c r="B17" s="123"/>
      <c r="C17" s="123"/>
      <c r="D17" s="123"/>
      <c r="H17" s="120" t="s">
        <v>76</v>
      </c>
    </row>
    <row r="18" spans="1:17" hidden="1" x14ac:dyDescent="0.2">
      <c r="A18" s="123"/>
      <c r="B18" s="123"/>
      <c r="C18" s="123"/>
      <c r="D18" s="123"/>
      <c r="H18" s="120" t="s">
        <v>77</v>
      </c>
    </row>
    <row r="19" spans="1:17" hidden="1" x14ac:dyDescent="0.2">
      <c r="A19" s="123"/>
      <c r="B19" s="123"/>
      <c r="C19" s="123"/>
      <c r="D19" s="123"/>
      <c r="H19" s="120" t="s">
        <v>78</v>
      </c>
    </row>
    <row r="20" spans="1:17" hidden="1" x14ac:dyDescent="0.2">
      <c r="B20" s="123"/>
      <c r="C20" s="123"/>
      <c r="D20" s="123"/>
      <c r="H20" s="120" t="s">
        <v>79</v>
      </c>
    </row>
    <row r="21" spans="1:17" hidden="1" x14ac:dyDescent="0.2">
      <c r="A21" s="123"/>
      <c r="B21" s="123"/>
      <c r="C21" s="123"/>
      <c r="D21" s="123"/>
      <c r="H21" s="120" t="s">
        <v>80</v>
      </c>
    </row>
    <row r="22" spans="1:17" hidden="1" x14ac:dyDescent="0.2">
      <c r="A22" s="123"/>
      <c r="B22" s="123"/>
      <c r="C22" s="123"/>
      <c r="D22" s="123"/>
      <c r="H22" s="120" t="s">
        <v>81</v>
      </c>
    </row>
    <row r="23" spans="1:17" hidden="1" x14ac:dyDescent="0.2">
      <c r="A23" s="123"/>
      <c r="B23" s="123"/>
      <c r="C23" s="123"/>
      <c r="D23" s="123"/>
      <c r="H23" s="120" t="s">
        <v>82</v>
      </c>
    </row>
    <row r="24" spans="1:17" hidden="1" x14ac:dyDescent="0.2">
      <c r="A24" s="123"/>
      <c r="B24" s="123"/>
      <c r="C24" s="123"/>
      <c r="D24" s="123"/>
    </row>
    <row r="25" spans="1:17" hidden="1" x14ac:dyDescent="0.2">
      <c r="A25" s="123"/>
      <c r="B25" s="123"/>
      <c r="C25" s="123"/>
      <c r="D25" s="123"/>
    </row>
    <row r="26" spans="1:17" x14ac:dyDescent="0.2">
      <c r="A26" s="1341" t="s">
        <v>83</v>
      </c>
      <c r="B26" s="1341"/>
      <c r="C26" s="1341"/>
      <c r="D26" s="1341"/>
      <c r="E26" s="1341"/>
      <c r="F26" s="1341"/>
      <c r="G26" s="1341"/>
      <c r="H26" s="1341"/>
      <c r="I26" s="1341"/>
      <c r="J26" s="1341"/>
      <c r="K26" s="1341"/>
      <c r="L26" s="1341"/>
      <c r="M26" s="1341"/>
      <c r="N26" s="1341"/>
      <c r="O26" s="1341"/>
      <c r="P26" s="1341"/>
      <c r="Q26" s="1341"/>
    </row>
    <row r="27" spans="1:17" ht="15" customHeight="1" x14ac:dyDescent="0.2">
      <c r="A27" s="1342" t="s">
        <v>84</v>
      </c>
      <c r="B27" s="1342"/>
      <c r="C27" s="1343" t="s">
        <v>788</v>
      </c>
      <c r="D27" s="1343"/>
      <c r="E27" s="1343"/>
      <c r="F27" s="1343"/>
      <c r="G27" s="1343"/>
      <c r="H27" s="1344" t="s">
        <v>85</v>
      </c>
      <c r="I27" s="1344"/>
      <c r="J27" s="1345" t="str">
        <f>'[1]Informações de entrada'!C7</f>
        <v>Prefeitura Municipal de Santarém Novo</v>
      </c>
      <c r="K27" s="1345"/>
      <c r="L27" s="1345"/>
      <c r="M27" s="1345"/>
      <c r="N27" s="1345"/>
      <c r="O27" s="125"/>
      <c r="P27" s="126"/>
      <c r="Q27" s="127"/>
    </row>
    <row r="28" spans="1:17" x14ac:dyDescent="0.2">
      <c r="A28" s="128" t="s">
        <v>3</v>
      </c>
      <c r="B28" s="129"/>
      <c r="C28" s="129" t="str">
        <f>'[1]Informações de entrada'!C21</f>
        <v>RESEX CHOCOARÉ-MATOGROSSO</v>
      </c>
      <c r="D28" s="129"/>
      <c r="E28" s="129"/>
      <c r="F28" s="129"/>
      <c r="G28" s="130"/>
      <c r="H28" s="131" t="s">
        <v>86</v>
      </c>
      <c r="I28" s="132"/>
      <c r="J28" s="132"/>
      <c r="K28" s="132">
        <f>E127</f>
        <v>0.90288709334169837</v>
      </c>
      <c r="L28" s="130" t="s">
        <v>87</v>
      </c>
      <c r="M28" s="133" t="s">
        <v>88</v>
      </c>
      <c r="N28" s="134">
        <f>E128</f>
        <v>6.3</v>
      </c>
      <c r="O28" s="131" t="s">
        <v>89</v>
      </c>
      <c r="P28" s="132">
        <f>ROUND(K107/1000,2)</f>
        <v>12.15</v>
      </c>
      <c r="Q28" s="135" t="s">
        <v>40</v>
      </c>
    </row>
    <row r="29" spans="1:17" x14ac:dyDescent="0.2">
      <c r="A29" s="136"/>
      <c r="B29" s="137"/>
      <c r="C29" s="138" t="s">
        <v>90</v>
      </c>
      <c r="D29" s="1330" t="s">
        <v>91</v>
      </c>
      <c r="E29" s="1330"/>
      <c r="F29" s="1330"/>
      <c r="G29" s="1330"/>
      <c r="H29" s="1330"/>
      <c r="I29" s="1330"/>
      <c r="J29" s="1330"/>
      <c r="K29" s="1330"/>
      <c r="L29" s="1330"/>
      <c r="M29" s="1331" t="s">
        <v>92</v>
      </c>
      <c r="N29" s="1332">
        <f>E135</f>
        <v>6</v>
      </c>
      <c r="O29" s="139"/>
      <c r="P29" s="140"/>
      <c r="Q29" s="141"/>
    </row>
    <row r="30" spans="1:17" x14ac:dyDescent="0.2">
      <c r="A30" s="142"/>
      <c r="B30" s="143"/>
      <c r="C30" s="144"/>
      <c r="D30" s="1330"/>
      <c r="E30" s="1330"/>
      <c r="F30" s="1330"/>
      <c r="G30" s="1330"/>
      <c r="H30" s="1330"/>
      <c r="I30" s="1330"/>
      <c r="J30" s="1330"/>
      <c r="K30" s="1330"/>
      <c r="L30" s="1330"/>
      <c r="M30" s="1331"/>
      <c r="N30" s="1332"/>
      <c r="O30" s="139"/>
      <c r="P30" s="140"/>
      <c r="Q30" s="141"/>
    </row>
    <row r="31" spans="1:17" ht="15.75" customHeight="1" x14ac:dyDescent="0.2">
      <c r="A31" s="1333" t="s">
        <v>93</v>
      </c>
      <c r="B31" s="145" t="s">
        <v>94</v>
      </c>
      <c r="C31" s="146"/>
      <c r="D31" s="147"/>
      <c r="E31" s="1334" t="s">
        <v>95</v>
      </c>
      <c r="F31" s="1334"/>
      <c r="G31" s="1335" t="s">
        <v>96</v>
      </c>
      <c r="H31" s="1334" t="s">
        <v>97</v>
      </c>
      <c r="I31" s="1334"/>
      <c r="J31" s="1334"/>
      <c r="K31" s="1336" t="s">
        <v>98</v>
      </c>
      <c r="L31" s="1336"/>
      <c r="M31" s="1336"/>
      <c r="N31" s="1336"/>
      <c r="O31" s="1336"/>
      <c r="P31" s="1336"/>
      <c r="Q31" s="1336"/>
    </row>
    <row r="32" spans="1:17" ht="15.75" customHeight="1" x14ac:dyDescent="0.2">
      <c r="A32" s="1333"/>
      <c r="B32" s="1337" t="s">
        <v>50</v>
      </c>
      <c r="C32" s="1337"/>
      <c r="D32" s="1337"/>
      <c r="E32" s="1334"/>
      <c r="F32" s="1334"/>
      <c r="G32" s="1335"/>
      <c r="H32" s="1334"/>
      <c r="I32" s="1334"/>
      <c r="J32" s="1334"/>
      <c r="K32" s="1326" t="s">
        <v>99</v>
      </c>
      <c r="L32" s="1326"/>
      <c r="M32" s="1326"/>
      <c r="N32" s="1338" t="s">
        <v>46</v>
      </c>
      <c r="O32" s="1338"/>
      <c r="P32" s="1339" t="s">
        <v>100</v>
      </c>
      <c r="Q32" s="1340" t="s">
        <v>101</v>
      </c>
    </row>
    <row r="33" spans="1:17" ht="15.75" customHeight="1" x14ac:dyDescent="0.2">
      <c r="A33" s="1333"/>
      <c r="B33" s="1326" t="s">
        <v>102</v>
      </c>
      <c r="C33" s="1326"/>
      <c r="D33" s="1326"/>
      <c r="E33" s="1334"/>
      <c r="F33" s="1334"/>
      <c r="G33" s="1335"/>
      <c r="H33" s="1334"/>
      <c r="I33" s="1334"/>
      <c r="J33" s="1334"/>
      <c r="K33" s="1339" t="s">
        <v>103</v>
      </c>
      <c r="L33" s="1339" t="s">
        <v>104</v>
      </c>
      <c r="M33" s="1325" t="s">
        <v>105</v>
      </c>
      <c r="N33" s="1326" t="s">
        <v>106</v>
      </c>
      <c r="O33" s="1326"/>
      <c r="P33" s="1339"/>
      <c r="Q33" s="1340"/>
    </row>
    <row r="34" spans="1:17" ht="23.25" x14ac:dyDescent="0.2">
      <c r="A34" s="1333"/>
      <c r="B34" s="150" t="s">
        <v>107</v>
      </c>
      <c r="C34" s="150" t="s">
        <v>108</v>
      </c>
      <c r="D34" s="150" t="s">
        <v>109</v>
      </c>
      <c r="E34" s="149" t="s">
        <v>110</v>
      </c>
      <c r="F34" s="149" t="s">
        <v>111</v>
      </c>
      <c r="G34" s="1335"/>
      <c r="H34" s="149" t="s">
        <v>112</v>
      </c>
      <c r="I34" s="148" t="s">
        <v>113</v>
      </c>
      <c r="J34" s="148" t="s">
        <v>114</v>
      </c>
      <c r="K34" s="1339"/>
      <c r="L34" s="1339"/>
      <c r="M34" s="1325"/>
      <c r="N34" s="149" t="s">
        <v>115</v>
      </c>
      <c r="O34" s="149" t="s">
        <v>116</v>
      </c>
      <c r="P34" s="1339"/>
      <c r="Q34" s="1340"/>
    </row>
    <row r="35" spans="1:17" x14ac:dyDescent="0.2">
      <c r="A35" s="151"/>
      <c r="B35" s="152"/>
      <c r="C35" s="153"/>
      <c r="D35" s="153"/>
      <c r="E35" s="154"/>
      <c r="F35" s="154"/>
      <c r="G35" s="155"/>
      <c r="H35" s="156"/>
      <c r="I35" s="156"/>
      <c r="J35" s="156"/>
      <c r="K35" s="157"/>
      <c r="L35" s="156"/>
      <c r="M35" s="158"/>
      <c r="N35" s="159"/>
      <c r="O35" s="159"/>
      <c r="P35" s="159"/>
      <c r="Q35" s="160"/>
    </row>
    <row r="36" spans="1:17" hidden="1" x14ac:dyDescent="0.2">
      <c r="A36" s="161"/>
      <c r="B36" s="162"/>
      <c r="C36" s="163"/>
      <c r="D36" s="163"/>
      <c r="E36" s="164">
        <v>0</v>
      </c>
      <c r="F36" s="165"/>
      <c r="G36" s="166"/>
      <c r="H36" s="162"/>
      <c r="I36" s="162"/>
      <c r="J36" s="162"/>
      <c r="K36" s="167">
        <f t="shared" ref="K36:K67" si="0">F36-E36</f>
        <v>0</v>
      </c>
      <c r="L36" s="162"/>
      <c r="M36" s="168"/>
      <c r="N36" s="169">
        <f t="shared" ref="N36:N67" si="1">IF(L36="",K36*$K$28,IF($N$32="Seção cheia",(2*$N$28+3*L36)*L36*K36/2,(2*$N$28+3*L36)*L36*K36/4))</f>
        <v>0</v>
      </c>
      <c r="O36" s="169">
        <f t="shared" ref="O36:O67" si="2">N36+O35</f>
        <v>0</v>
      </c>
      <c r="P36" s="169">
        <f t="shared" ref="P36:P67" si="3">K36*$N$28</f>
        <v>0</v>
      </c>
      <c r="Q36" s="170">
        <f t="shared" ref="Q36:Q67" si="4">IF(M36="DMT≤50 (3ª Cat)",0,IF(H36="",IF($E$131="Sim",N36,0),N36))</f>
        <v>0</v>
      </c>
    </row>
    <row r="37" spans="1:17" ht="27.75" x14ac:dyDescent="0.2">
      <c r="A37" s="49">
        <v>1</v>
      </c>
      <c r="B37" s="171" t="s">
        <v>117</v>
      </c>
      <c r="C37" s="50">
        <v>233264.25</v>
      </c>
      <c r="D37" s="50">
        <v>9897431.1099999994</v>
      </c>
      <c r="E37" s="172">
        <f t="shared" ref="E37:E65" si="5">F36</f>
        <v>0</v>
      </c>
      <c r="F37" s="173">
        <v>9.9999999999999994E-12</v>
      </c>
      <c r="G37" s="58" t="s">
        <v>118</v>
      </c>
      <c r="H37" s="174"/>
      <c r="I37" s="174"/>
      <c r="J37" s="174"/>
      <c r="K37" s="175">
        <f t="shared" si="0"/>
        <v>9.9999999999999994E-12</v>
      </c>
      <c r="L37" s="176"/>
      <c r="M37" s="177"/>
      <c r="N37" s="178">
        <f t="shared" si="1"/>
        <v>9.028870933416983E-12</v>
      </c>
      <c r="O37" s="178">
        <f t="shared" si="2"/>
        <v>9.028870933416983E-12</v>
      </c>
      <c r="P37" s="178">
        <f t="shared" si="3"/>
        <v>6.2999999999999989E-11</v>
      </c>
      <c r="Q37" s="178">
        <f t="shared" si="4"/>
        <v>9.028870933416983E-12</v>
      </c>
    </row>
    <row r="38" spans="1:17" x14ac:dyDescent="0.2">
      <c r="A38" s="49"/>
      <c r="B38" s="171"/>
      <c r="C38" s="50"/>
      <c r="D38" s="50"/>
      <c r="E38" s="172">
        <f t="shared" si="5"/>
        <v>9.9999999999999994E-12</v>
      </c>
      <c r="F38" s="173">
        <v>550</v>
      </c>
      <c r="G38" s="58" t="s">
        <v>119</v>
      </c>
      <c r="H38" s="174"/>
      <c r="I38" s="174"/>
      <c r="J38" s="174"/>
      <c r="K38" s="175">
        <f t="shared" si="0"/>
        <v>549.99999999999</v>
      </c>
      <c r="L38" s="176"/>
      <c r="M38" s="177" t="s">
        <v>43</v>
      </c>
      <c r="N38" s="178">
        <f t="shared" si="1"/>
        <v>496.58790133792508</v>
      </c>
      <c r="O38" s="178">
        <f t="shared" si="2"/>
        <v>496.58790133793411</v>
      </c>
      <c r="P38" s="178">
        <f t="shared" si="3"/>
        <v>3464.9999999999368</v>
      </c>
      <c r="Q38" s="178">
        <f t="shared" si="4"/>
        <v>496.58790133792508</v>
      </c>
    </row>
    <row r="39" spans="1:17" ht="27.75" x14ac:dyDescent="0.2">
      <c r="A39" s="49"/>
      <c r="B39" s="171" t="s">
        <v>117</v>
      </c>
      <c r="C39" s="50">
        <v>233646.07999999999</v>
      </c>
      <c r="D39" s="50">
        <v>9898124.5600000005</v>
      </c>
      <c r="E39" s="172">
        <f t="shared" si="5"/>
        <v>550</v>
      </c>
      <c r="F39" s="173">
        <f>E39+200</f>
        <v>750</v>
      </c>
      <c r="G39" s="58" t="s">
        <v>120</v>
      </c>
      <c r="H39" s="174" t="s">
        <v>68</v>
      </c>
      <c r="I39" s="174">
        <v>9</v>
      </c>
      <c r="J39" s="174">
        <v>2</v>
      </c>
      <c r="K39" s="175">
        <f t="shared" si="0"/>
        <v>200</v>
      </c>
      <c r="L39" s="176">
        <v>2</v>
      </c>
      <c r="M39" s="177" t="s">
        <v>55</v>
      </c>
      <c r="N39" s="178">
        <f t="shared" si="1"/>
        <v>1860.0000000000002</v>
      </c>
      <c r="O39" s="178">
        <f t="shared" si="2"/>
        <v>2356.5879013379345</v>
      </c>
      <c r="P39" s="178">
        <f t="shared" si="3"/>
        <v>1260</v>
      </c>
      <c r="Q39" s="178">
        <f t="shared" si="4"/>
        <v>1860.0000000000002</v>
      </c>
    </row>
    <row r="40" spans="1:17" x14ac:dyDescent="0.2">
      <c r="A40" s="49"/>
      <c r="B40" s="171"/>
      <c r="C40" s="50"/>
      <c r="D40" s="50"/>
      <c r="E40" s="172">
        <f t="shared" si="5"/>
        <v>750</v>
      </c>
      <c r="F40" s="173">
        <f>F39+680</f>
        <v>1430</v>
      </c>
      <c r="G40" s="58" t="s">
        <v>119</v>
      </c>
      <c r="H40" s="174"/>
      <c r="I40" s="174"/>
      <c r="J40" s="174"/>
      <c r="K40" s="175">
        <f t="shared" si="0"/>
        <v>680</v>
      </c>
      <c r="L40" s="176"/>
      <c r="M40" s="177" t="s">
        <v>43</v>
      </c>
      <c r="N40" s="178">
        <f t="shared" si="1"/>
        <v>613.96322347235491</v>
      </c>
      <c r="O40" s="178">
        <f t="shared" si="2"/>
        <v>2970.5511248102894</v>
      </c>
      <c r="P40" s="178">
        <f t="shared" si="3"/>
        <v>4284</v>
      </c>
      <c r="Q40" s="178">
        <f t="shared" si="4"/>
        <v>613.96322347235491</v>
      </c>
    </row>
    <row r="41" spans="1:17" ht="27.75" x14ac:dyDescent="0.2">
      <c r="A41" s="49"/>
      <c r="B41" s="171" t="s">
        <v>117</v>
      </c>
      <c r="C41" s="50">
        <v>234040.63</v>
      </c>
      <c r="D41" s="50">
        <v>9898771.2200000007</v>
      </c>
      <c r="E41" s="172">
        <f t="shared" si="5"/>
        <v>1430</v>
      </c>
      <c r="F41" s="173">
        <f>F40+170</f>
        <v>1600</v>
      </c>
      <c r="G41" s="58" t="s">
        <v>120</v>
      </c>
      <c r="H41" s="174" t="s">
        <v>68</v>
      </c>
      <c r="I41" s="174">
        <v>9</v>
      </c>
      <c r="J41" s="174">
        <v>2</v>
      </c>
      <c r="K41" s="175">
        <f t="shared" si="0"/>
        <v>170</v>
      </c>
      <c r="L41" s="176">
        <v>2</v>
      </c>
      <c r="M41" s="177" t="s">
        <v>55</v>
      </c>
      <c r="N41" s="178">
        <f t="shared" si="1"/>
        <v>1581.0000000000002</v>
      </c>
      <c r="O41" s="178">
        <f t="shared" si="2"/>
        <v>4551.5511248102894</v>
      </c>
      <c r="P41" s="178">
        <f t="shared" si="3"/>
        <v>1071</v>
      </c>
      <c r="Q41" s="178">
        <f t="shared" si="4"/>
        <v>1581.0000000000002</v>
      </c>
    </row>
    <row r="42" spans="1:17" x14ac:dyDescent="0.2">
      <c r="A42" s="49"/>
      <c r="B42" s="171"/>
      <c r="C42" s="50"/>
      <c r="D42" s="50"/>
      <c r="E42" s="172">
        <f t="shared" si="5"/>
        <v>1600</v>
      </c>
      <c r="F42" s="173">
        <f>E42+70</f>
        <v>1670</v>
      </c>
      <c r="G42" s="58" t="s">
        <v>119</v>
      </c>
      <c r="H42" s="174"/>
      <c r="I42" s="174"/>
      <c r="J42" s="174"/>
      <c r="K42" s="175">
        <f t="shared" si="0"/>
        <v>70</v>
      </c>
      <c r="L42" s="176"/>
      <c r="M42" s="177" t="s">
        <v>43</v>
      </c>
      <c r="N42" s="178">
        <f t="shared" si="1"/>
        <v>63.202096533918883</v>
      </c>
      <c r="O42" s="178">
        <f t="shared" si="2"/>
        <v>4614.7532213442082</v>
      </c>
      <c r="P42" s="178">
        <f t="shared" si="3"/>
        <v>441</v>
      </c>
      <c r="Q42" s="178">
        <f t="shared" si="4"/>
        <v>63.202096533918883</v>
      </c>
    </row>
    <row r="43" spans="1:17" ht="27.75" x14ac:dyDescent="0.2">
      <c r="A43" s="49"/>
      <c r="B43" s="171" t="s">
        <v>117</v>
      </c>
      <c r="C43" s="50">
        <v>234079.57</v>
      </c>
      <c r="D43" s="50">
        <v>9898825.4600000009</v>
      </c>
      <c r="E43" s="172">
        <f t="shared" si="5"/>
        <v>1670</v>
      </c>
      <c r="F43" s="173">
        <f>E43+100</f>
        <v>1770</v>
      </c>
      <c r="G43" s="58" t="s">
        <v>121</v>
      </c>
      <c r="H43" s="174" t="s">
        <v>56</v>
      </c>
      <c r="I43" s="174">
        <v>9</v>
      </c>
      <c r="J43" s="174">
        <v>2</v>
      </c>
      <c r="K43" s="175">
        <f t="shared" si="0"/>
        <v>100</v>
      </c>
      <c r="L43" s="176">
        <v>2</v>
      </c>
      <c r="M43" s="177" t="s">
        <v>55</v>
      </c>
      <c r="N43" s="178">
        <f t="shared" si="1"/>
        <v>930.00000000000011</v>
      </c>
      <c r="O43" s="178">
        <f t="shared" si="2"/>
        <v>5544.7532213442082</v>
      </c>
      <c r="P43" s="178">
        <f t="shared" si="3"/>
        <v>630</v>
      </c>
      <c r="Q43" s="178">
        <f t="shared" si="4"/>
        <v>930.00000000000011</v>
      </c>
    </row>
    <row r="44" spans="1:17" x14ac:dyDescent="0.2">
      <c r="A44" s="49"/>
      <c r="B44" s="171"/>
      <c r="C44" s="50"/>
      <c r="D44" s="50"/>
      <c r="E44" s="172">
        <f t="shared" si="5"/>
        <v>1770</v>
      </c>
      <c r="F44" s="173">
        <f>E44+480</f>
        <v>2250</v>
      </c>
      <c r="G44" s="58" t="s">
        <v>119</v>
      </c>
      <c r="H44" s="174"/>
      <c r="I44" s="174"/>
      <c r="J44" s="174"/>
      <c r="K44" s="175">
        <f t="shared" si="0"/>
        <v>480</v>
      </c>
      <c r="L44" s="176"/>
      <c r="M44" s="177" t="s">
        <v>43</v>
      </c>
      <c r="N44" s="178">
        <f t="shared" si="1"/>
        <v>433.38580480401521</v>
      </c>
      <c r="O44" s="178">
        <f t="shared" si="2"/>
        <v>5978.1390261482238</v>
      </c>
      <c r="P44" s="178">
        <f t="shared" si="3"/>
        <v>3024</v>
      </c>
      <c r="Q44" s="178">
        <f t="shared" si="4"/>
        <v>433.38580480401521</v>
      </c>
    </row>
    <row r="45" spans="1:17" ht="27.75" x14ac:dyDescent="0.2">
      <c r="A45" s="49"/>
      <c r="B45" s="171" t="s">
        <v>117</v>
      </c>
      <c r="C45" s="50">
        <v>234468.45</v>
      </c>
      <c r="D45" s="50">
        <v>9899480.4000000004</v>
      </c>
      <c r="E45" s="172">
        <f t="shared" si="5"/>
        <v>2250</v>
      </c>
      <c r="F45" s="173">
        <f>E45+400</f>
        <v>2650</v>
      </c>
      <c r="G45" s="58" t="s">
        <v>120</v>
      </c>
      <c r="H45" s="174" t="s">
        <v>68</v>
      </c>
      <c r="I45" s="174">
        <v>9</v>
      </c>
      <c r="J45" s="174">
        <v>2</v>
      </c>
      <c r="K45" s="175">
        <f t="shared" si="0"/>
        <v>400</v>
      </c>
      <c r="L45" s="176">
        <v>2</v>
      </c>
      <c r="M45" s="177" t="s">
        <v>55</v>
      </c>
      <c r="N45" s="178">
        <f t="shared" si="1"/>
        <v>3720.0000000000005</v>
      </c>
      <c r="O45" s="178">
        <f t="shared" si="2"/>
        <v>9698.1390261482247</v>
      </c>
      <c r="P45" s="178">
        <f t="shared" si="3"/>
        <v>2520</v>
      </c>
      <c r="Q45" s="178">
        <f t="shared" si="4"/>
        <v>3720.0000000000005</v>
      </c>
    </row>
    <row r="46" spans="1:17" x14ac:dyDescent="0.2">
      <c r="A46" s="49"/>
      <c r="B46" s="171"/>
      <c r="C46" s="50"/>
      <c r="D46" s="50"/>
      <c r="E46" s="172">
        <f t="shared" si="5"/>
        <v>2650</v>
      </c>
      <c r="F46" s="173">
        <f>E46+210</f>
        <v>2860</v>
      </c>
      <c r="G46" s="58" t="s">
        <v>119</v>
      </c>
      <c r="H46" s="174"/>
      <c r="I46" s="174"/>
      <c r="J46" s="174"/>
      <c r="K46" s="175">
        <f t="shared" si="0"/>
        <v>210</v>
      </c>
      <c r="L46" s="176"/>
      <c r="M46" s="177" t="s">
        <v>43</v>
      </c>
      <c r="N46" s="178">
        <f t="shared" si="1"/>
        <v>189.60628960175666</v>
      </c>
      <c r="O46" s="178">
        <f t="shared" si="2"/>
        <v>9887.7453157499822</v>
      </c>
      <c r="P46" s="178">
        <f t="shared" si="3"/>
        <v>1323</v>
      </c>
      <c r="Q46" s="179">
        <f t="shared" si="4"/>
        <v>189.60628960175666</v>
      </c>
    </row>
    <row r="47" spans="1:17" ht="27.75" x14ac:dyDescent="0.2">
      <c r="A47" s="49"/>
      <c r="B47" s="171" t="s">
        <v>117</v>
      </c>
      <c r="C47" s="50">
        <v>234697.85</v>
      </c>
      <c r="D47" s="50">
        <v>9899817.75</v>
      </c>
      <c r="E47" s="172">
        <f t="shared" si="5"/>
        <v>2860</v>
      </c>
      <c r="F47" s="173">
        <f>E47+400</f>
        <v>3260</v>
      </c>
      <c r="G47" s="58" t="s">
        <v>120</v>
      </c>
      <c r="H47" s="174" t="s">
        <v>68</v>
      </c>
      <c r="I47" s="174">
        <v>9</v>
      </c>
      <c r="J47" s="174">
        <v>2</v>
      </c>
      <c r="K47" s="175">
        <f t="shared" si="0"/>
        <v>400</v>
      </c>
      <c r="L47" s="176">
        <v>2</v>
      </c>
      <c r="M47" s="177" t="s">
        <v>55</v>
      </c>
      <c r="N47" s="178">
        <f t="shared" si="1"/>
        <v>3720.0000000000005</v>
      </c>
      <c r="O47" s="178">
        <f t="shared" si="2"/>
        <v>13607.745315749982</v>
      </c>
      <c r="P47" s="178">
        <f t="shared" si="3"/>
        <v>2520</v>
      </c>
      <c r="Q47" s="179">
        <f t="shared" si="4"/>
        <v>3720.0000000000005</v>
      </c>
    </row>
    <row r="48" spans="1:17" x14ac:dyDescent="0.2">
      <c r="A48" s="49"/>
      <c r="B48" s="171"/>
      <c r="C48" s="50"/>
      <c r="D48" s="50"/>
      <c r="E48" s="172">
        <f t="shared" si="5"/>
        <v>3260</v>
      </c>
      <c r="F48" s="173">
        <f>E48+650</f>
        <v>3910</v>
      </c>
      <c r="G48" s="58" t="s">
        <v>119</v>
      </c>
      <c r="H48" s="174"/>
      <c r="I48" s="174"/>
      <c r="J48" s="174"/>
      <c r="K48" s="175">
        <f t="shared" si="0"/>
        <v>650</v>
      </c>
      <c r="L48" s="176"/>
      <c r="M48" s="177" t="s">
        <v>43</v>
      </c>
      <c r="N48" s="178">
        <f t="shared" si="1"/>
        <v>586.87661067210399</v>
      </c>
      <c r="O48" s="178">
        <f t="shared" si="2"/>
        <v>14194.621926422085</v>
      </c>
      <c r="P48" s="178">
        <f t="shared" si="3"/>
        <v>4095</v>
      </c>
      <c r="Q48" s="179">
        <f t="shared" si="4"/>
        <v>586.87661067210399</v>
      </c>
    </row>
    <row r="49" spans="1:17" ht="27.75" x14ac:dyDescent="0.2">
      <c r="A49" s="49"/>
      <c r="B49" s="171" t="s">
        <v>117</v>
      </c>
      <c r="C49" s="50">
        <v>235463.2</v>
      </c>
      <c r="D49" s="50">
        <v>9900515.4199999999</v>
      </c>
      <c r="E49" s="172">
        <f t="shared" si="5"/>
        <v>3910</v>
      </c>
      <c r="F49" s="173">
        <f>E49+300</f>
        <v>4210</v>
      </c>
      <c r="G49" s="58" t="s">
        <v>120</v>
      </c>
      <c r="H49" s="174" t="s">
        <v>68</v>
      </c>
      <c r="I49" s="174">
        <v>9</v>
      </c>
      <c r="J49" s="174">
        <v>2</v>
      </c>
      <c r="K49" s="175">
        <f t="shared" si="0"/>
        <v>300</v>
      </c>
      <c r="L49" s="176">
        <v>2</v>
      </c>
      <c r="M49" s="177" t="s">
        <v>55</v>
      </c>
      <c r="N49" s="178">
        <f t="shared" si="1"/>
        <v>2790</v>
      </c>
      <c r="O49" s="178">
        <f t="shared" si="2"/>
        <v>16984.621926422085</v>
      </c>
      <c r="P49" s="178">
        <f t="shared" si="3"/>
        <v>1890</v>
      </c>
      <c r="Q49" s="179">
        <f t="shared" si="4"/>
        <v>2790</v>
      </c>
    </row>
    <row r="50" spans="1:17" x14ac:dyDescent="0.2">
      <c r="A50" s="49"/>
      <c r="B50" s="171"/>
      <c r="C50" s="50"/>
      <c r="D50" s="50"/>
      <c r="E50" s="172">
        <f t="shared" si="5"/>
        <v>4210</v>
      </c>
      <c r="F50" s="173">
        <f>E50+100</f>
        <v>4310</v>
      </c>
      <c r="G50" s="58" t="s">
        <v>119</v>
      </c>
      <c r="H50" s="174"/>
      <c r="I50" s="174"/>
      <c r="J50" s="174"/>
      <c r="K50" s="175">
        <f t="shared" si="0"/>
        <v>100</v>
      </c>
      <c r="L50" s="176"/>
      <c r="M50" s="177" t="s">
        <v>43</v>
      </c>
      <c r="N50" s="178">
        <f t="shared" si="1"/>
        <v>90.288709334169837</v>
      </c>
      <c r="O50" s="178">
        <f t="shared" si="2"/>
        <v>17074.910635756256</v>
      </c>
      <c r="P50" s="178">
        <f t="shared" si="3"/>
        <v>630</v>
      </c>
      <c r="Q50" s="179">
        <f t="shared" si="4"/>
        <v>90.288709334169837</v>
      </c>
    </row>
    <row r="51" spans="1:17" ht="27.75" x14ac:dyDescent="0.2">
      <c r="A51" s="49"/>
      <c r="B51" s="171" t="s">
        <v>117</v>
      </c>
      <c r="C51" s="50">
        <v>235575.36</v>
      </c>
      <c r="D51" s="50">
        <v>9900643.5899999999</v>
      </c>
      <c r="E51" s="172">
        <f t="shared" si="5"/>
        <v>4310</v>
      </c>
      <c r="F51" s="173">
        <f>E51+280</f>
        <v>4590</v>
      </c>
      <c r="G51" s="58" t="s">
        <v>120</v>
      </c>
      <c r="H51" s="174" t="s">
        <v>68</v>
      </c>
      <c r="I51" s="174">
        <v>9</v>
      </c>
      <c r="J51" s="174">
        <v>2</v>
      </c>
      <c r="K51" s="175">
        <f t="shared" si="0"/>
        <v>280</v>
      </c>
      <c r="L51" s="176">
        <v>2</v>
      </c>
      <c r="M51" s="177" t="s">
        <v>55</v>
      </c>
      <c r="N51" s="178">
        <f t="shared" si="1"/>
        <v>2604</v>
      </c>
      <c r="O51" s="178">
        <f t="shared" si="2"/>
        <v>19678.910635756256</v>
      </c>
      <c r="P51" s="178">
        <f t="shared" si="3"/>
        <v>1764</v>
      </c>
      <c r="Q51" s="179">
        <f t="shared" si="4"/>
        <v>2604</v>
      </c>
    </row>
    <row r="52" spans="1:17" x14ac:dyDescent="0.2">
      <c r="A52" s="49"/>
      <c r="B52" s="171"/>
      <c r="C52" s="50"/>
      <c r="D52" s="50"/>
      <c r="E52" s="172">
        <f t="shared" si="5"/>
        <v>4590</v>
      </c>
      <c r="F52" s="173">
        <f>E52+880</f>
        <v>5470</v>
      </c>
      <c r="G52" s="58" t="s">
        <v>119</v>
      </c>
      <c r="H52" s="174"/>
      <c r="I52" s="174"/>
      <c r="J52" s="174"/>
      <c r="K52" s="175">
        <f t="shared" si="0"/>
        <v>880</v>
      </c>
      <c r="L52" s="176"/>
      <c r="M52" s="177" t="s">
        <v>43</v>
      </c>
      <c r="N52" s="178">
        <f t="shared" si="1"/>
        <v>794.54064214069456</v>
      </c>
      <c r="O52" s="178">
        <f t="shared" si="2"/>
        <v>20473.451277896951</v>
      </c>
      <c r="P52" s="178">
        <f t="shared" si="3"/>
        <v>5544</v>
      </c>
      <c r="Q52" s="179">
        <f t="shared" si="4"/>
        <v>794.54064214069456</v>
      </c>
    </row>
    <row r="53" spans="1:17" ht="27.75" x14ac:dyDescent="0.2">
      <c r="A53" s="49"/>
      <c r="B53" s="171" t="s">
        <v>117</v>
      </c>
      <c r="C53" s="50">
        <v>235954.24</v>
      </c>
      <c r="D53" s="50">
        <v>9901618.2300000004</v>
      </c>
      <c r="E53" s="172">
        <f t="shared" si="5"/>
        <v>5470</v>
      </c>
      <c r="F53" s="173">
        <f>E53+250</f>
        <v>5720</v>
      </c>
      <c r="G53" s="58" t="s">
        <v>121</v>
      </c>
      <c r="H53" s="174" t="s">
        <v>56</v>
      </c>
      <c r="I53" s="174">
        <v>9</v>
      </c>
      <c r="J53" s="174">
        <v>2</v>
      </c>
      <c r="K53" s="175">
        <f t="shared" si="0"/>
        <v>250</v>
      </c>
      <c r="L53" s="176">
        <v>2</v>
      </c>
      <c r="M53" s="177" t="s">
        <v>55</v>
      </c>
      <c r="N53" s="178">
        <f t="shared" si="1"/>
        <v>2325</v>
      </c>
      <c r="O53" s="178">
        <f t="shared" si="2"/>
        <v>22798.451277896951</v>
      </c>
      <c r="P53" s="178">
        <f t="shared" si="3"/>
        <v>1575</v>
      </c>
      <c r="Q53" s="179">
        <f t="shared" si="4"/>
        <v>2325</v>
      </c>
    </row>
    <row r="54" spans="1:17" x14ac:dyDescent="0.2">
      <c r="A54" s="49"/>
      <c r="B54" s="171"/>
      <c r="C54" s="50"/>
      <c r="D54" s="50"/>
      <c r="E54" s="172">
        <f t="shared" si="5"/>
        <v>5720</v>
      </c>
      <c r="F54" s="173">
        <f>E54+70</f>
        <v>5790</v>
      </c>
      <c r="G54" s="58" t="s">
        <v>119</v>
      </c>
      <c r="H54" s="174"/>
      <c r="I54" s="174"/>
      <c r="J54" s="174"/>
      <c r="K54" s="175">
        <f t="shared" si="0"/>
        <v>70</v>
      </c>
      <c r="L54" s="176"/>
      <c r="M54" s="177" t="s">
        <v>43</v>
      </c>
      <c r="N54" s="178">
        <f t="shared" si="1"/>
        <v>63.202096533918883</v>
      </c>
      <c r="O54" s="178">
        <f t="shared" si="2"/>
        <v>22861.653374430869</v>
      </c>
      <c r="P54" s="178">
        <f t="shared" si="3"/>
        <v>441</v>
      </c>
      <c r="Q54" s="179">
        <f t="shared" si="4"/>
        <v>63.202096533918883</v>
      </c>
    </row>
    <row r="55" spans="1:17" ht="27.75" x14ac:dyDescent="0.2">
      <c r="A55" s="49"/>
      <c r="B55" s="171" t="s">
        <v>117</v>
      </c>
      <c r="C55" s="50">
        <v>236034.81</v>
      </c>
      <c r="D55" s="50">
        <v>9901703.3499999996</v>
      </c>
      <c r="E55" s="172">
        <f t="shared" si="5"/>
        <v>5790</v>
      </c>
      <c r="F55" s="173">
        <f>E55+50</f>
        <v>5840</v>
      </c>
      <c r="G55" s="58" t="s">
        <v>122</v>
      </c>
      <c r="H55" s="174" t="s">
        <v>49</v>
      </c>
      <c r="I55" s="174">
        <v>8</v>
      </c>
      <c r="J55" s="174">
        <v>2</v>
      </c>
      <c r="K55" s="175">
        <f t="shared" si="0"/>
        <v>50</v>
      </c>
      <c r="L55" s="176">
        <v>1.2</v>
      </c>
      <c r="M55" s="177" t="s">
        <v>55</v>
      </c>
      <c r="N55" s="178">
        <f t="shared" si="1"/>
        <v>242.99999999999997</v>
      </c>
      <c r="O55" s="178">
        <f t="shared" si="2"/>
        <v>23104.653374430869</v>
      </c>
      <c r="P55" s="178">
        <f t="shared" si="3"/>
        <v>315</v>
      </c>
      <c r="Q55" s="179">
        <f t="shared" si="4"/>
        <v>242.99999999999997</v>
      </c>
    </row>
    <row r="56" spans="1:17" x14ac:dyDescent="0.2">
      <c r="A56" s="49"/>
      <c r="B56" s="171"/>
      <c r="C56" s="50"/>
      <c r="D56" s="50"/>
      <c r="E56" s="172">
        <f t="shared" si="5"/>
        <v>5840</v>
      </c>
      <c r="F56" s="173">
        <f>E56+220</f>
        <v>6060</v>
      </c>
      <c r="G56" s="58" t="s">
        <v>119</v>
      </c>
      <c r="H56" s="174"/>
      <c r="I56" s="174"/>
      <c r="J56" s="174"/>
      <c r="K56" s="175">
        <f t="shared" si="0"/>
        <v>220</v>
      </c>
      <c r="L56" s="176"/>
      <c r="M56" s="177" t="s">
        <v>43</v>
      </c>
      <c r="N56" s="178">
        <f t="shared" si="1"/>
        <v>198.63516053517364</v>
      </c>
      <c r="O56" s="178">
        <f t="shared" si="2"/>
        <v>23303.288534966043</v>
      </c>
      <c r="P56" s="178">
        <f t="shared" si="3"/>
        <v>1386</v>
      </c>
      <c r="Q56" s="179">
        <f t="shared" si="4"/>
        <v>198.63516053517364</v>
      </c>
    </row>
    <row r="57" spans="1:17" ht="27.75" x14ac:dyDescent="0.2">
      <c r="A57" s="49"/>
      <c r="B57" s="171" t="s">
        <v>117</v>
      </c>
      <c r="C57" s="50">
        <v>236228.81</v>
      </c>
      <c r="D57" s="50">
        <v>9901857.8000000007</v>
      </c>
      <c r="E57" s="172">
        <f t="shared" si="5"/>
        <v>6060</v>
      </c>
      <c r="F57" s="173">
        <f>E57+100</f>
        <v>6160</v>
      </c>
      <c r="G57" s="58" t="s">
        <v>122</v>
      </c>
      <c r="H57" s="174" t="s">
        <v>49</v>
      </c>
      <c r="I57" s="174">
        <v>8</v>
      </c>
      <c r="J57" s="174">
        <v>2</v>
      </c>
      <c r="K57" s="175">
        <f t="shared" si="0"/>
        <v>100</v>
      </c>
      <c r="L57" s="176">
        <v>1.2</v>
      </c>
      <c r="M57" s="177" t="s">
        <v>55</v>
      </c>
      <c r="N57" s="178">
        <f t="shared" si="1"/>
        <v>485.99999999999994</v>
      </c>
      <c r="O57" s="178">
        <f t="shared" si="2"/>
        <v>23789.288534966043</v>
      </c>
      <c r="P57" s="178">
        <f t="shared" si="3"/>
        <v>630</v>
      </c>
      <c r="Q57" s="179">
        <f t="shared" si="4"/>
        <v>485.99999999999994</v>
      </c>
    </row>
    <row r="58" spans="1:17" x14ac:dyDescent="0.2">
      <c r="A58" s="49"/>
      <c r="B58" s="171"/>
      <c r="C58" s="50"/>
      <c r="D58" s="50"/>
      <c r="E58" s="172">
        <f t="shared" si="5"/>
        <v>6160</v>
      </c>
      <c r="F58" s="173">
        <f>E58+180</f>
        <v>6340</v>
      </c>
      <c r="G58" s="58" t="s">
        <v>119</v>
      </c>
      <c r="H58" s="174"/>
      <c r="I58" s="174"/>
      <c r="J58" s="174"/>
      <c r="K58" s="175">
        <f t="shared" si="0"/>
        <v>180</v>
      </c>
      <c r="L58" s="176"/>
      <c r="M58" s="177" t="s">
        <v>43</v>
      </c>
      <c r="N58" s="178">
        <f t="shared" si="1"/>
        <v>162.51967680150571</v>
      </c>
      <c r="O58" s="178">
        <f t="shared" si="2"/>
        <v>23951.808211767548</v>
      </c>
      <c r="P58" s="178">
        <f t="shared" si="3"/>
        <v>1134</v>
      </c>
      <c r="Q58" s="179">
        <f t="shared" si="4"/>
        <v>162.51967680150571</v>
      </c>
    </row>
    <row r="59" spans="1:17" ht="27.75" x14ac:dyDescent="0.2">
      <c r="A59" s="49"/>
      <c r="B59" s="171" t="s">
        <v>117</v>
      </c>
      <c r="C59" s="50">
        <v>236248.28</v>
      </c>
      <c r="D59" s="50">
        <v>9902228.0800000001</v>
      </c>
      <c r="E59" s="172">
        <f t="shared" si="5"/>
        <v>6340</v>
      </c>
      <c r="F59" s="173">
        <f>E59+200</f>
        <v>6540</v>
      </c>
      <c r="G59" s="58" t="s">
        <v>121</v>
      </c>
      <c r="H59" s="174" t="s">
        <v>56</v>
      </c>
      <c r="I59" s="174">
        <v>9</v>
      </c>
      <c r="J59" s="174">
        <v>2</v>
      </c>
      <c r="K59" s="175">
        <f t="shared" si="0"/>
        <v>200</v>
      </c>
      <c r="L59" s="176">
        <v>2</v>
      </c>
      <c r="M59" s="177" t="s">
        <v>55</v>
      </c>
      <c r="N59" s="178">
        <f t="shared" si="1"/>
        <v>1860.0000000000002</v>
      </c>
      <c r="O59" s="178">
        <f t="shared" si="2"/>
        <v>25811.808211767548</v>
      </c>
      <c r="P59" s="178">
        <f t="shared" si="3"/>
        <v>1260</v>
      </c>
      <c r="Q59" s="179">
        <f t="shared" si="4"/>
        <v>1860.0000000000002</v>
      </c>
    </row>
    <row r="60" spans="1:17" x14ac:dyDescent="0.2">
      <c r="A60" s="180"/>
      <c r="B60" s="181"/>
      <c r="C60" s="182"/>
      <c r="D60" s="183"/>
      <c r="E60" s="172">
        <f t="shared" si="5"/>
        <v>6540</v>
      </c>
      <c r="F60" s="173">
        <f>E60+1030</f>
        <v>7570</v>
      </c>
      <c r="G60" s="58" t="s">
        <v>119</v>
      </c>
      <c r="H60" s="174"/>
      <c r="I60" s="174"/>
      <c r="J60" s="174"/>
      <c r="K60" s="175">
        <f t="shared" si="0"/>
        <v>1030</v>
      </c>
      <c r="L60" s="176"/>
      <c r="M60" s="177" t="s">
        <v>43</v>
      </c>
      <c r="N60" s="178">
        <f t="shared" si="1"/>
        <v>929.97370614194926</v>
      </c>
      <c r="O60" s="178">
        <f t="shared" si="2"/>
        <v>26741.781917909499</v>
      </c>
      <c r="P60" s="178">
        <f t="shared" si="3"/>
        <v>6489</v>
      </c>
      <c r="Q60" s="179">
        <f t="shared" si="4"/>
        <v>929.97370614194926</v>
      </c>
    </row>
    <row r="61" spans="1:17" ht="27.75" x14ac:dyDescent="0.2">
      <c r="A61" s="49"/>
      <c r="B61" s="171" t="s">
        <v>117</v>
      </c>
      <c r="C61" s="50">
        <v>236136.45</v>
      </c>
      <c r="D61" s="50">
        <v>9903322.7599999998</v>
      </c>
      <c r="E61" s="172">
        <f t="shared" si="5"/>
        <v>7570</v>
      </c>
      <c r="F61" s="173">
        <f>E61+100</f>
        <v>7670</v>
      </c>
      <c r="G61" s="58" t="s">
        <v>122</v>
      </c>
      <c r="H61" s="174" t="s">
        <v>49</v>
      </c>
      <c r="I61" s="174">
        <v>8</v>
      </c>
      <c r="J61" s="174">
        <v>2</v>
      </c>
      <c r="K61" s="175">
        <f t="shared" si="0"/>
        <v>100</v>
      </c>
      <c r="L61" s="176">
        <v>1.2</v>
      </c>
      <c r="M61" s="177" t="s">
        <v>55</v>
      </c>
      <c r="N61" s="178">
        <f t="shared" si="1"/>
        <v>485.99999999999994</v>
      </c>
      <c r="O61" s="178">
        <f t="shared" si="2"/>
        <v>27227.781917909499</v>
      </c>
      <c r="P61" s="178">
        <f t="shared" si="3"/>
        <v>630</v>
      </c>
      <c r="Q61" s="179">
        <f t="shared" si="4"/>
        <v>485.99999999999994</v>
      </c>
    </row>
    <row r="62" spans="1:17" x14ac:dyDescent="0.2">
      <c r="A62" s="49"/>
      <c r="B62" s="171"/>
      <c r="C62" s="184"/>
      <c r="D62" s="185"/>
      <c r="E62" s="172">
        <f t="shared" si="5"/>
        <v>7670</v>
      </c>
      <c r="F62" s="173">
        <f>E62+410</f>
        <v>8080</v>
      </c>
      <c r="G62" s="58" t="s">
        <v>119</v>
      </c>
      <c r="H62" s="174"/>
      <c r="I62" s="174"/>
      <c r="J62" s="174"/>
      <c r="K62" s="175">
        <f t="shared" si="0"/>
        <v>410</v>
      </c>
      <c r="L62" s="176"/>
      <c r="M62" s="177" t="s">
        <v>43</v>
      </c>
      <c r="N62" s="178">
        <f t="shared" si="1"/>
        <v>370.1837082700963</v>
      </c>
      <c r="O62" s="178">
        <f t="shared" si="2"/>
        <v>27597.965626179594</v>
      </c>
      <c r="P62" s="178">
        <f t="shared" si="3"/>
        <v>2583</v>
      </c>
      <c r="Q62" s="179">
        <f t="shared" si="4"/>
        <v>370.1837082700963</v>
      </c>
    </row>
    <row r="63" spans="1:17" ht="27.75" x14ac:dyDescent="0.2">
      <c r="A63" s="49"/>
      <c r="B63" s="171" t="s">
        <v>117</v>
      </c>
      <c r="C63" s="50">
        <v>235729.05</v>
      </c>
      <c r="D63" s="50">
        <v>9903750.0700000003</v>
      </c>
      <c r="E63" s="172">
        <f t="shared" si="5"/>
        <v>8080</v>
      </c>
      <c r="F63" s="173">
        <f>E63+200</f>
        <v>8280</v>
      </c>
      <c r="G63" s="58" t="s">
        <v>120</v>
      </c>
      <c r="H63" s="174" t="s">
        <v>68</v>
      </c>
      <c r="I63" s="174">
        <v>9</v>
      </c>
      <c r="J63" s="174">
        <v>2</v>
      </c>
      <c r="K63" s="175">
        <f t="shared" si="0"/>
        <v>200</v>
      </c>
      <c r="L63" s="176">
        <v>2</v>
      </c>
      <c r="M63" s="177" t="s">
        <v>55</v>
      </c>
      <c r="N63" s="178">
        <f t="shared" si="1"/>
        <v>1860.0000000000002</v>
      </c>
      <c r="O63" s="178">
        <f t="shared" si="2"/>
        <v>29457.965626179594</v>
      </c>
      <c r="P63" s="178">
        <f t="shared" si="3"/>
        <v>1260</v>
      </c>
      <c r="Q63" s="179">
        <f t="shared" si="4"/>
        <v>1860.0000000000002</v>
      </c>
    </row>
    <row r="64" spans="1:17" x14ac:dyDescent="0.2">
      <c r="A64" s="49"/>
      <c r="B64" s="171" t="s">
        <v>117</v>
      </c>
      <c r="C64" s="50">
        <v>235495.75</v>
      </c>
      <c r="D64" s="50">
        <v>9903936.4399999995</v>
      </c>
      <c r="E64" s="172">
        <f t="shared" si="5"/>
        <v>8280</v>
      </c>
      <c r="F64" s="173">
        <f>E64+200</f>
        <v>8480</v>
      </c>
      <c r="G64" s="58" t="s">
        <v>123</v>
      </c>
      <c r="H64" s="174"/>
      <c r="I64" s="174"/>
      <c r="J64" s="174"/>
      <c r="K64" s="175">
        <f t="shared" si="0"/>
        <v>200</v>
      </c>
      <c r="L64" s="176"/>
      <c r="M64" s="177" t="s">
        <v>43</v>
      </c>
      <c r="N64" s="178">
        <f t="shared" si="1"/>
        <v>180.57741866833967</v>
      </c>
      <c r="O64" s="178">
        <f t="shared" si="2"/>
        <v>29638.543044847935</v>
      </c>
      <c r="P64" s="178">
        <f t="shared" si="3"/>
        <v>1260</v>
      </c>
      <c r="Q64" s="179">
        <f t="shared" si="4"/>
        <v>180.57741866833967</v>
      </c>
    </row>
    <row r="65" spans="1:17" ht="27.75" x14ac:dyDescent="0.2">
      <c r="A65" s="49"/>
      <c r="B65" s="171" t="s">
        <v>117</v>
      </c>
      <c r="C65" s="50">
        <v>235325.51</v>
      </c>
      <c r="D65" s="50">
        <v>9904256.5899999999</v>
      </c>
      <c r="E65" s="172">
        <f t="shared" si="5"/>
        <v>8480</v>
      </c>
      <c r="F65" s="173">
        <f>E65+270</f>
        <v>8750</v>
      </c>
      <c r="G65" s="58" t="s">
        <v>124</v>
      </c>
      <c r="H65" s="174"/>
      <c r="I65" s="174"/>
      <c r="J65" s="174"/>
      <c r="K65" s="175">
        <f t="shared" si="0"/>
        <v>270</v>
      </c>
      <c r="L65" s="176"/>
      <c r="M65" s="177" t="s">
        <v>43</v>
      </c>
      <c r="N65" s="178">
        <f t="shared" si="1"/>
        <v>243.77951520225855</v>
      </c>
      <c r="O65" s="178">
        <f t="shared" si="2"/>
        <v>29882.322560050194</v>
      </c>
      <c r="P65" s="178">
        <f t="shared" si="3"/>
        <v>1701</v>
      </c>
      <c r="Q65" s="179">
        <f t="shared" si="4"/>
        <v>243.77951520225855</v>
      </c>
    </row>
    <row r="66" spans="1:17" ht="27.75" x14ac:dyDescent="0.2">
      <c r="A66" s="186"/>
      <c r="B66" s="187" t="s">
        <v>117</v>
      </c>
      <c r="C66" s="188">
        <v>235901.59</v>
      </c>
      <c r="D66" s="189">
        <v>9901557.3200000003</v>
      </c>
      <c r="E66" s="190">
        <v>0</v>
      </c>
      <c r="F66" s="191">
        <v>9.9999999999999994E-12</v>
      </c>
      <c r="G66" s="192" t="s">
        <v>125</v>
      </c>
      <c r="H66" s="193"/>
      <c r="I66" s="193"/>
      <c r="J66" s="193"/>
      <c r="K66" s="194">
        <f t="shared" si="0"/>
        <v>9.9999999999999994E-12</v>
      </c>
      <c r="L66" s="195"/>
      <c r="M66" s="196" t="s">
        <v>43</v>
      </c>
      <c r="N66" s="197">
        <f t="shared" si="1"/>
        <v>9.028870933416983E-12</v>
      </c>
      <c r="O66" s="197">
        <f t="shared" si="2"/>
        <v>29882.322560050201</v>
      </c>
      <c r="P66" s="197">
        <f t="shared" si="3"/>
        <v>6.2999999999999989E-11</v>
      </c>
      <c r="Q66" s="198">
        <f t="shared" si="4"/>
        <v>9.028870933416983E-12</v>
      </c>
    </row>
    <row r="67" spans="1:17" x14ac:dyDescent="0.2">
      <c r="A67" s="49"/>
      <c r="B67" s="171"/>
      <c r="C67" s="50"/>
      <c r="D67" s="50"/>
      <c r="E67" s="172">
        <f>F66</f>
        <v>9.9999999999999994E-12</v>
      </c>
      <c r="F67" s="173">
        <f>E67+250</f>
        <v>250.00000000001</v>
      </c>
      <c r="G67" s="58" t="s">
        <v>119</v>
      </c>
      <c r="H67" s="174"/>
      <c r="I67" s="174"/>
      <c r="J67" s="174"/>
      <c r="K67" s="175">
        <f t="shared" si="0"/>
        <v>250</v>
      </c>
      <c r="L67" s="176"/>
      <c r="M67" s="177" t="s">
        <v>43</v>
      </c>
      <c r="N67" s="178">
        <f t="shared" si="1"/>
        <v>225.72177333542459</v>
      </c>
      <c r="O67" s="178">
        <f t="shared" si="2"/>
        <v>30108.044333385624</v>
      </c>
      <c r="P67" s="178">
        <f t="shared" si="3"/>
        <v>1575</v>
      </c>
      <c r="Q67" s="179">
        <f t="shared" si="4"/>
        <v>225.72177333542459</v>
      </c>
    </row>
    <row r="68" spans="1:17" ht="27.75" x14ac:dyDescent="0.2">
      <c r="A68" s="49"/>
      <c r="B68" s="171" t="s">
        <v>117</v>
      </c>
      <c r="C68" s="50">
        <v>236181.18</v>
      </c>
      <c r="D68" s="50">
        <v>9901225.3699999992</v>
      </c>
      <c r="E68" s="172">
        <f>F67</f>
        <v>250.00000000001</v>
      </c>
      <c r="F68" s="173">
        <f>E68+300</f>
        <v>550.00000000001</v>
      </c>
      <c r="G68" s="58" t="s">
        <v>121</v>
      </c>
      <c r="H68" s="174" t="s">
        <v>49</v>
      </c>
      <c r="I68" s="174">
        <v>9</v>
      </c>
      <c r="J68" s="174">
        <v>2</v>
      </c>
      <c r="K68" s="175">
        <f t="shared" ref="K68:K99" si="6">F68-E68</f>
        <v>300</v>
      </c>
      <c r="L68" s="176">
        <v>2</v>
      </c>
      <c r="M68" s="177" t="s">
        <v>55</v>
      </c>
      <c r="N68" s="178">
        <f t="shared" ref="N68:N99" si="7">IF(L68="",K68*$K$28,IF($N$32="Seção cheia",(2*$N$28+3*L68)*L68*K68/2,(2*$N$28+3*L68)*L68*K68/4))</f>
        <v>2790</v>
      </c>
      <c r="O68" s="178">
        <f t="shared" ref="O68:O99" si="8">N68+O67</f>
        <v>32898.044333385624</v>
      </c>
      <c r="P68" s="178">
        <f t="shared" ref="P68:P99" si="9">K68*$N$28</f>
        <v>1890</v>
      </c>
      <c r="Q68" s="179">
        <f t="shared" ref="Q68:Q99" si="10">IF(M68="DMT≤50 (3ª Cat)",0,IF(H68="",IF($E$131="Sim",N68,0),N68))</f>
        <v>2790</v>
      </c>
    </row>
    <row r="69" spans="1:17" x14ac:dyDescent="0.2">
      <c r="A69" s="49"/>
      <c r="B69" s="171"/>
      <c r="C69" s="50"/>
      <c r="D69" s="50"/>
      <c r="E69" s="172">
        <f>F68</f>
        <v>550.00000000001</v>
      </c>
      <c r="F69" s="173">
        <f>E69+950</f>
        <v>1500.00000000001</v>
      </c>
      <c r="G69" s="58" t="s">
        <v>119</v>
      </c>
      <c r="H69" s="174"/>
      <c r="I69" s="174"/>
      <c r="J69" s="174"/>
      <c r="K69" s="175">
        <f t="shared" si="6"/>
        <v>950</v>
      </c>
      <c r="L69" s="176"/>
      <c r="M69" s="177" t="s">
        <v>43</v>
      </c>
      <c r="N69" s="178">
        <f t="shared" si="7"/>
        <v>857.74273867461341</v>
      </c>
      <c r="O69" s="178">
        <f t="shared" si="8"/>
        <v>33755.787072060237</v>
      </c>
      <c r="P69" s="178">
        <f t="shared" si="9"/>
        <v>5985</v>
      </c>
      <c r="Q69" s="179">
        <f t="shared" si="10"/>
        <v>857.74273867461341</v>
      </c>
    </row>
    <row r="70" spans="1:17" ht="27.75" x14ac:dyDescent="0.2">
      <c r="A70" s="49"/>
      <c r="B70" s="171" t="s">
        <v>117</v>
      </c>
      <c r="C70" s="184">
        <v>236940</v>
      </c>
      <c r="D70" s="185">
        <v>9900219</v>
      </c>
      <c r="E70" s="172">
        <f>F69</f>
        <v>1500.00000000001</v>
      </c>
      <c r="F70" s="173">
        <f>E70+400</f>
        <v>1900.00000000001</v>
      </c>
      <c r="G70" s="58" t="s">
        <v>121</v>
      </c>
      <c r="H70" s="174" t="s">
        <v>56</v>
      </c>
      <c r="I70" s="174">
        <v>9</v>
      </c>
      <c r="J70" s="174">
        <v>2</v>
      </c>
      <c r="K70" s="175">
        <f t="shared" si="6"/>
        <v>400</v>
      </c>
      <c r="L70" s="176">
        <v>2</v>
      </c>
      <c r="M70" s="177" t="s">
        <v>55</v>
      </c>
      <c r="N70" s="178">
        <f t="shared" si="7"/>
        <v>3720.0000000000005</v>
      </c>
      <c r="O70" s="178">
        <f t="shared" si="8"/>
        <v>37475.787072060237</v>
      </c>
      <c r="P70" s="178">
        <f t="shared" si="9"/>
        <v>2520</v>
      </c>
      <c r="Q70" s="179">
        <f t="shared" si="10"/>
        <v>3720.0000000000005</v>
      </c>
    </row>
    <row r="71" spans="1:17" x14ac:dyDescent="0.2">
      <c r="A71" s="180"/>
      <c r="B71" s="171" t="s">
        <v>117</v>
      </c>
      <c r="C71" s="199">
        <v>237348</v>
      </c>
      <c r="D71" s="199">
        <v>9898846</v>
      </c>
      <c r="E71" s="172">
        <f>F70</f>
        <v>1900.00000000001</v>
      </c>
      <c r="F71" s="173">
        <f>E71+1500</f>
        <v>3400.00000000001</v>
      </c>
      <c r="G71" s="200" t="s">
        <v>126</v>
      </c>
      <c r="H71" s="201"/>
      <c r="I71" s="201"/>
      <c r="J71" s="201"/>
      <c r="K71" s="175">
        <f t="shared" si="6"/>
        <v>1500</v>
      </c>
      <c r="L71" s="176"/>
      <c r="M71" s="177" t="s">
        <v>43</v>
      </c>
      <c r="N71" s="178">
        <f t="shared" si="7"/>
        <v>1354.3306400125475</v>
      </c>
      <c r="O71" s="178">
        <f t="shared" si="8"/>
        <v>38830.117712072781</v>
      </c>
      <c r="P71" s="178">
        <f t="shared" si="9"/>
        <v>9450</v>
      </c>
      <c r="Q71" s="179">
        <f t="shared" si="10"/>
        <v>1354.3306400125475</v>
      </c>
    </row>
    <row r="72" spans="1:17" hidden="1" x14ac:dyDescent="0.2">
      <c r="A72" s="49"/>
      <c r="B72" s="181"/>
      <c r="C72" s="184"/>
      <c r="D72" s="185"/>
      <c r="E72" s="172"/>
      <c r="F72" s="173"/>
      <c r="G72" s="58"/>
      <c r="H72" s="174"/>
      <c r="I72" s="174"/>
      <c r="J72" s="174"/>
      <c r="K72" s="175">
        <f t="shared" si="6"/>
        <v>0</v>
      </c>
      <c r="L72" s="176"/>
      <c r="M72" s="177"/>
      <c r="N72" s="178">
        <f t="shared" si="7"/>
        <v>0</v>
      </c>
      <c r="O72" s="178">
        <f t="shared" si="8"/>
        <v>38830.117712072781</v>
      </c>
      <c r="P72" s="178">
        <f t="shared" si="9"/>
        <v>0</v>
      </c>
      <c r="Q72" s="179">
        <f t="shared" si="10"/>
        <v>0</v>
      </c>
    </row>
    <row r="73" spans="1:17" hidden="1" x14ac:dyDescent="0.2">
      <c r="A73" s="49"/>
      <c r="B73" s="171"/>
      <c r="C73" s="50"/>
      <c r="D73" s="50"/>
      <c r="E73" s="172"/>
      <c r="F73" s="173"/>
      <c r="G73" s="58"/>
      <c r="H73" s="174"/>
      <c r="I73" s="174"/>
      <c r="J73" s="174"/>
      <c r="K73" s="175">
        <f t="shared" si="6"/>
        <v>0</v>
      </c>
      <c r="L73" s="176"/>
      <c r="M73" s="177"/>
      <c r="N73" s="178">
        <f t="shared" si="7"/>
        <v>0</v>
      </c>
      <c r="O73" s="178">
        <f t="shared" si="8"/>
        <v>38830.117712072781</v>
      </c>
      <c r="P73" s="178">
        <f t="shared" si="9"/>
        <v>0</v>
      </c>
      <c r="Q73" s="179">
        <f t="shared" si="10"/>
        <v>0</v>
      </c>
    </row>
    <row r="74" spans="1:17" hidden="1" x14ac:dyDescent="0.2">
      <c r="A74" s="202"/>
      <c r="B74" s="203"/>
      <c r="C74" s="204"/>
      <c r="D74" s="204"/>
      <c r="E74" s="205"/>
      <c r="F74" s="206"/>
      <c r="G74" s="207"/>
      <c r="H74" s="203"/>
      <c r="I74" s="203"/>
      <c r="J74" s="203"/>
      <c r="K74" s="208">
        <f t="shared" si="6"/>
        <v>0</v>
      </c>
      <c r="L74" s="209"/>
      <c r="M74" s="210"/>
      <c r="N74" s="211">
        <f t="shared" si="7"/>
        <v>0</v>
      </c>
      <c r="O74" s="211">
        <f t="shared" si="8"/>
        <v>38830.117712072781</v>
      </c>
      <c r="P74" s="211">
        <f t="shared" si="9"/>
        <v>0</v>
      </c>
      <c r="Q74" s="212">
        <f t="shared" si="10"/>
        <v>0</v>
      </c>
    </row>
    <row r="75" spans="1:17" hidden="1" x14ac:dyDescent="0.2">
      <c r="A75" s="202"/>
      <c r="B75" s="203"/>
      <c r="C75" s="204"/>
      <c r="D75" s="204"/>
      <c r="E75" s="205"/>
      <c r="F75" s="213"/>
      <c r="G75" s="214"/>
      <c r="H75" s="203"/>
      <c r="I75" s="203"/>
      <c r="J75" s="203"/>
      <c r="K75" s="208">
        <f t="shared" si="6"/>
        <v>0</v>
      </c>
      <c r="L75" s="209"/>
      <c r="M75" s="210"/>
      <c r="N75" s="211">
        <f t="shared" si="7"/>
        <v>0</v>
      </c>
      <c r="O75" s="211">
        <f t="shared" si="8"/>
        <v>38830.117712072781</v>
      </c>
      <c r="P75" s="211">
        <f t="shared" si="9"/>
        <v>0</v>
      </c>
      <c r="Q75" s="212">
        <f t="shared" si="10"/>
        <v>0</v>
      </c>
    </row>
    <row r="76" spans="1:17" hidden="1" x14ac:dyDescent="0.2">
      <c r="A76" s="215"/>
      <c r="B76" s="216"/>
      <c r="C76" s="217"/>
      <c r="D76" s="217"/>
      <c r="E76" s="218"/>
      <c r="F76" s="219"/>
      <c r="G76" s="220"/>
      <c r="H76" s="216"/>
      <c r="I76" s="216"/>
      <c r="J76" s="216"/>
      <c r="K76" s="221">
        <f t="shared" si="6"/>
        <v>0</v>
      </c>
      <c r="L76" s="222"/>
      <c r="M76" s="223"/>
      <c r="N76" s="224">
        <f t="shared" si="7"/>
        <v>0</v>
      </c>
      <c r="O76" s="224">
        <f t="shared" si="8"/>
        <v>38830.117712072781</v>
      </c>
      <c r="P76" s="224">
        <f t="shared" si="9"/>
        <v>0</v>
      </c>
      <c r="Q76" s="225">
        <f t="shared" si="10"/>
        <v>0</v>
      </c>
    </row>
    <row r="77" spans="1:17" hidden="1" x14ac:dyDescent="0.2">
      <c r="A77" s="49"/>
      <c r="B77" s="171"/>
      <c r="C77" s="50"/>
      <c r="D77" s="50"/>
      <c r="E77" s="172"/>
      <c r="F77" s="173"/>
      <c r="G77" s="58"/>
      <c r="H77" s="174"/>
      <c r="I77" s="174"/>
      <c r="J77" s="174"/>
      <c r="K77" s="175">
        <f t="shared" si="6"/>
        <v>0</v>
      </c>
      <c r="L77" s="176"/>
      <c r="M77" s="177"/>
      <c r="N77" s="178">
        <f t="shared" si="7"/>
        <v>0</v>
      </c>
      <c r="O77" s="178">
        <f t="shared" si="8"/>
        <v>38830.117712072781</v>
      </c>
      <c r="P77" s="178">
        <f t="shared" si="9"/>
        <v>0</v>
      </c>
      <c r="Q77" s="179">
        <f t="shared" si="10"/>
        <v>0</v>
      </c>
    </row>
    <row r="78" spans="1:17" hidden="1" x14ac:dyDescent="0.2">
      <c r="A78" s="49"/>
      <c r="B78" s="171"/>
      <c r="C78" s="50"/>
      <c r="D78" s="50"/>
      <c r="E78" s="172"/>
      <c r="F78" s="173"/>
      <c r="G78" s="58"/>
      <c r="H78" s="174"/>
      <c r="I78" s="174"/>
      <c r="J78" s="174"/>
      <c r="K78" s="175">
        <f t="shared" si="6"/>
        <v>0</v>
      </c>
      <c r="L78" s="176"/>
      <c r="M78" s="177"/>
      <c r="N78" s="178">
        <f t="shared" si="7"/>
        <v>0</v>
      </c>
      <c r="O78" s="178">
        <f t="shared" si="8"/>
        <v>38830.117712072781</v>
      </c>
      <c r="P78" s="178">
        <f t="shared" si="9"/>
        <v>0</v>
      </c>
      <c r="Q78" s="179">
        <f t="shared" si="10"/>
        <v>0</v>
      </c>
    </row>
    <row r="79" spans="1:17" hidden="1" x14ac:dyDescent="0.2">
      <c r="A79" s="49"/>
      <c r="B79" s="171"/>
      <c r="C79" s="50"/>
      <c r="D79" s="50"/>
      <c r="E79" s="172"/>
      <c r="F79" s="173"/>
      <c r="G79" s="58"/>
      <c r="H79" s="174"/>
      <c r="I79" s="174"/>
      <c r="J79" s="174"/>
      <c r="K79" s="175">
        <f t="shared" si="6"/>
        <v>0</v>
      </c>
      <c r="L79" s="176"/>
      <c r="M79" s="177"/>
      <c r="N79" s="178">
        <f t="shared" si="7"/>
        <v>0</v>
      </c>
      <c r="O79" s="178">
        <f t="shared" si="8"/>
        <v>38830.117712072781</v>
      </c>
      <c r="P79" s="178">
        <f t="shared" si="9"/>
        <v>0</v>
      </c>
      <c r="Q79" s="179">
        <f t="shared" si="10"/>
        <v>0</v>
      </c>
    </row>
    <row r="80" spans="1:17" hidden="1" x14ac:dyDescent="0.2">
      <c r="A80" s="49"/>
      <c r="B80" s="171"/>
      <c r="C80" s="50"/>
      <c r="D80" s="50"/>
      <c r="E80" s="172"/>
      <c r="F80" s="173"/>
      <c r="G80" s="58"/>
      <c r="H80" s="174"/>
      <c r="I80" s="174"/>
      <c r="J80" s="174"/>
      <c r="K80" s="175">
        <f t="shared" si="6"/>
        <v>0</v>
      </c>
      <c r="L80" s="176"/>
      <c r="M80" s="177"/>
      <c r="N80" s="178">
        <f t="shared" si="7"/>
        <v>0</v>
      </c>
      <c r="O80" s="178">
        <f t="shared" si="8"/>
        <v>38830.117712072781</v>
      </c>
      <c r="P80" s="178">
        <f t="shared" si="9"/>
        <v>0</v>
      </c>
      <c r="Q80" s="179">
        <f t="shared" si="10"/>
        <v>0</v>
      </c>
    </row>
    <row r="81" spans="1:17" hidden="1" x14ac:dyDescent="0.2">
      <c r="A81" s="49"/>
      <c r="B81" s="171"/>
      <c r="C81" s="50"/>
      <c r="D81" s="50"/>
      <c r="E81" s="172"/>
      <c r="F81" s="173"/>
      <c r="G81" s="58"/>
      <c r="H81" s="174"/>
      <c r="I81" s="174"/>
      <c r="J81" s="174"/>
      <c r="K81" s="175">
        <f t="shared" si="6"/>
        <v>0</v>
      </c>
      <c r="L81" s="176"/>
      <c r="M81" s="177"/>
      <c r="N81" s="178">
        <f t="shared" si="7"/>
        <v>0</v>
      </c>
      <c r="O81" s="178">
        <f t="shared" si="8"/>
        <v>38830.117712072781</v>
      </c>
      <c r="P81" s="178">
        <f t="shared" si="9"/>
        <v>0</v>
      </c>
      <c r="Q81" s="179">
        <f t="shared" si="10"/>
        <v>0</v>
      </c>
    </row>
    <row r="82" spans="1:17" hidden="1" x14ac:dyDescent="0.2">
      <c r="A82" s="49"/>
      <c r="B82" s="171"/>
      <c r="C82" s="50"/>
      <c r="D82" s="50"/>
      <c r="E82" s="172"/>
      <c r="F82" s="173"/>
      <c r="G82" s="58"/>
      <c r="H82" s="174"/>
      <c r="I82" s="174"/>
      <c r="J82" s="174"/>
      <c r="K82" s="175">
        <f t="shared" si="6"/>
        <v>0</v>
      </c>
      <c r="L82" s="176"/>
      <c r="M82" s="177"/>
      <c r="N82" s="178">
        <f t="shared" si="7"/>
        <v>0</v>
      </c>
      <c r="O82" s="178">
        <f t="shared" si="8"/>
        <v>38830.117712072781</v>
      </c>
      <c r="P82" s="178">
        <f t="shared" si="9"/>
        <v>0</v>
      </c>
      <c r="Q82" s="179">
        <f t="shared" si="10"/>
        <v>0</v>
      </c>
    </row>
    <row r="83" spans="1:17" hidden="1" x14ac:dyDescent="0.2">
      <c r="A83" s="49"/>
      <c r="B83" s="171"/>
      <c r="C83" s="50"/>
      <c r="D83" s="50"/>
      <c r="E83" s="172"/>
      <c r="F83" s="173"/>
      <c r="G83" s="58"/>
      <c r="H83" s="174"/>
      <c r="I83" s="174"/>
      <c r="J83" s="174"/>
      <c r="K83" s="175">
        <f t="shared" si="6"/>
        <v>0</v>
      </c>
      <c r="L83" s="176"/>
      <c r="M83" s="177"/>
      <c r="N83" s="178">
        <f t="shared" si="7"/>
        <v>0</v>
      </c>
      <c r="O83" s="178">
        <f t="shared" si="8"/>
        <v>38830.117712072781</v>
      </c>
      <c r="P83" s="178">
        <f t="shared" si="9"/>
        <v>0</v>
      </c>
      <c r="Q83" s="179">
        <f t="shared" si="10"/>
        <v>0</v>
      </c>
    </row>
    <row r="84" spans="1:17" hidden="1" x14ac:dyDescent="0.2">
      <c r="A84" s="49"/>
      <c r="B84" s="171"/>
      <c r="C84" s="50"/>
      <c r="D84" s="50"/>
      <c r="E84" s="172"/>
      <c r="F84" s="173"/>
      <c r="G84" s="58"/>
      <c r="H84" s="174"/>
      <c r="I84" s="174"/>
      <c r="J84" s="174"/>
      <c r="K84" s="175">
        <f t="shared" si="6"/>
        <v>0</v>
      </c>
      <c r="L84" s="176"/>
      <c r="M84" s="177"/>
      <c r="N84" s="178">
        <f t="shared" si="7"/>
        <v>0</v>
      </c>
      <c r="O84" s="178">
        <f t="shared" si="8"/>
        <v>38830.117712072781</v>
      </c>
      <c r="P84" s="178">
        <f t="shared" si="9"/>
        <v>0</v>
      </c>
      <c r="Q84" s="179">
        <f t="shared" si="10"/>
        <v>0</v>
      </c>
    </row>
    <row r="85" spans="1:17" hidden="1" x14ac:dyDescent="0.2">
      <c r="A85" s="49"/>
      <c r="B85" s="171"/>
      <c r="C85" s="50"/>
      <c r="D85" s="50"/>
      <c r="E85" s="172"/>
      <c r="F85" s="173"/>
      <c r="G85" s="58"/>
      <c r="H85" s="174"/>
      <c r="I85" s="174"/>
      <c r="J85" s="174"/>
      <c r="K85" s="175">
        <f t="shared" si="6"/>
        <v>0</v>
      </c>
      <c r="L85" s="176"/>
      <c r="M85" s="177"/>
      <c r="N85" s="178">
        <f t="shared" si="7"/>
        <v>0</v>
      </c>
      <c r="O85" s="178">
        <f t="shared" si="8"/>
        <v>38830.117712072781</v>
      </c>
      <c r="P85" s="178">
        <f t="shared" si="9"/>
        <v>0</v>
      </c>
      <c r="Q85" s="179">
        <f t="shared" si="10"/>
        <v>0</v>
      </c>
    </row>
    <row r="86" spans="1:17" hidden="1" x14ac:dyDescent="0.2">
      <c r="A86" s="49"/>
      <c r="B86" s="171"/>
      <c r="C86" s="50"/>
      <c r="D86" s="50"/>
      <c r="E86" s="172"/>
      <c r="F86" s="173"/>
      <c r="G86" s="58"/>
      <c r="H86" s="174"/>
      <c r="I86" s="174"/>
      <c r="J86" s="174"/>
      <c r="K86" s="175">
        <f t="shared" si="6"/>
        <v>0</v>
      </c>
      <c r="L86" s="176"/>
      <c r="M86" s="177"/>
      <c r="N86" s="178">
        <f t="shared" si="7"/>
        <v>0</v>
      </c>
      <c r="O86" s="178">
        <f t="shared" si="8"/>
        <v>38830.117712072781</v>
      </c>
      <c r="P86" s="178">
        <f t="shared" si="9"/>
        <v>0</v>
      </c>
      <c r="Q86" s="179">
        <f t="shared" si="10"/>
        <v>0</v>
      </c>
    </row>
    <row r="87" spans="1:17" hidden="1" x14ac:dyDescent="0.2">
      <c r="A87" s="49"/>
      <c r="B87" s="171"/>
      <c r="C87" s="50"/>
      <c r="D87" s="50"/>
      <c r="E87" s="172"/>
      <c r="F87" s="173"/>
      <c r="G87" s="58"/>
      <c r="H87" s="174"/>
      <c r="I87" s="174"/>
      <c r="J87" s="174"/>
      <c r="K87" s="175">
        <f t="shared" si="6"/>
        <v>0</v>
      </c>
      <c r="L87" s="176"/>
      <c r="M87" s="177"/>
      <c r="N87" s="178">
        <f t="shared" si="7"/>
        <v>0</v>
      </c>
      <c r="O87" s="178">
        <f t="shared" si="8"/>
        <v>38830.117712072781</v>
      </c>
      <c r="P87" s="178">
        <f t="shared" si="9"/>
        <v>0</v>
      </c>
      <c r="Q87" s="179">
        <f t="shared" si="10"/>
        <v>0</v>
      </c>
    </row>
    <row r="88" spans="1:17" hidden="1" x14ac:dyDescent="0.2">
      <c r="A88" s="49"/>
      <c r="B88" s="171"/>
      <c r="C88" s="50"/>
      <c r="D88" s="50"/>
      <c r="E88" s="172"/>
      <c r="F88" s="173"/>
      <c r="G88" s="58"/>
      <c r="H88" s="174"/>
      <c r="I88" s="174"/>
      <c r="J88" s="174"/>
      <c r="K88" s="175">
        <f t="shared" si="6"/>
        <v>0</v>
      </c>
      <c r="L88" s="176"/>
      <c r="M88" s="177"/>
      <c r="N88" s="178">
        <f t="shared" si="7"/>
        <v>0</v>
      </c>
      <c r="O88" s="178">
        <f t="shared" si="8"/>
        <v>38830.117712072781</v>
      </c>
      <c r="P88" s="178">
        <f t="shared" si="9"/>
        <v>0</v>
      </c>
      <c r="Q88" s="179">
        <f t="shared" si="10"/>
        <v>0</v>
      </c>
    </row>
    <row r="89" spans="1:17" hidden="1" x14ac:dyDescent="0.2">
      <c r="A89" s="49"/>
      <c r="B89" s="171"/>
      <c r="C89" s="50"/>
      <c r="D89" s="50"/>
      <c r="E89" s="172"/>
      <c r="F89" s="173"/>
      <c r="G89" s="58"/>
      <c r="H89" s="174"/>
      <c r="I89" s="174"/>
      <c r="J89" s="174"/>
      <c r="K89" s="175">
        <f t="shared" si="6"/>
        <v>0</v>
      </c>
      <c r="L89" s="176"/>
      <c r="M89" s="177"/>
      <c r="N89" s="178">
        <f t="shared" si="7"/>
        <v>0</v>
      </c>
      <c r="O89" s="178">
        <f t="shared" si="8"/>
        <v>38830.117712072781</v>
      </c>
      <c r="P89" s="178">
        <f t="shared" si="9"/>
        <v>0</v>
      </c>
      <c r="Q89" s="179">
        <f t="shared" si="10"/>
        <v>0</v>
      </c>
    </row>
    <row r="90" spans="1:17" hidden="1" x14ac:dyDescent="0.2">
      <c r="A90" s="49"/>
      <c r="B90" s="171"/>
      <c r="C90" s="50"/>
      <c r="D90" s="50"/>
      <c r="E90" s="172"/>
      <c r="F90" s="173"/>
      <c r="G90" s="58"/>
      <c r="H90" s="174"/>
      <c r="I90" s="174"/>
      <c r="J90" s="174"/>
      <c r="K90" s="175">
        <f t="shared" si="6"/>
        <v>0</v>
      </c>
      <c r="L90" s="176"/>
      <c r="M90" s="177"/>
      <c r="N90" s="178">
        <f t="shared" si="7"/>
        <v>0</v>
      </c>
      <c r="O90" s="178">
        <f t="shared" si="8"/>
        <v>38830.117712072781</v>
      </c>
      <c r="P90" s="178">
        <f t="shared" si="9"/>
        <v>0</v>
      </c>
      <c r="Q90" s="179">
        <f t="shared" si="10"/>
        <v>0</v>
      </c>
    </row>
    <row r="91" spans="1:17" hidden="1" x14ac:dyDescent="0.2">
      <c r="A91" s="49"/>
      <c r="B91" s="171"/>
      <c r="C91" s="50"/>
      <c r="D91" s="50"/>
      <c r="E91" s="172"/>
      <c r="F91" s="173"/>
      <c r="G91" s="58"/>
      <c r="H91" s="174"/>
      <c r="I91" s="174"/>
      <c r="J91" s="174"/>
      <c r="K91" s="175">
        <f t="shared" si="6"/>
        <v>0</v>
      </c>
      <c r="L91" s="176"/>
      <c r="M91" s="177"/>
      <c r="N91" s="178">
        <f t="shared" si="7"/>
        <v>0</v>
      </c>
      <c r="O91" s="178">
        <f t="shared" si="8"/>
        <v>38830.117712072781</v>
      </c>
      <c r="P91" s="178">
        <f t="shared" si="9"/>
        <v>0</v>
      </c>
      <c r="Q91" s="179">
        <f t="shared" si="10"/>
        <v>0</v>
      </c>
    </row>
    <row r="92" spans="1:17" hidden="1" x14ac:dyDescent="0.2">
      <c r="A92" s="49"/>
      <c r="B92" s="171"/>
      <c r="C92" s="50"/>
      <c r="D92" s="50"/>
      <c r="E92" s="172"/>
      <c r="F92" s="173"/>
      <c r="G92" s="58"/>
      <c r="H92" s="174"/>
      <c r="I92" s="174"/>
      <c r="J92" s="174"/>
      <c r="K92" s="175">
        <f t="shared" si="6"/>
        <v>0</v>
      </c>
      <c r="L92" s="176"/>
      <c r="M92" s="177"/>
      <c r="N92" s="178">
        <f t="shared" si="7"/>
        <v>0</v>
      </c>
      <c r="O92" s="178">
        <f t="shared" si="8"/>
        <v>38830.117712072781</v>
      </c>
      <c r="P92" s="178">
        <f t="shared" si="9"/>
        <v>0</v>
      </c>
      <c r="Q92" s="179">
        <f t="shared" si="10"/>
        <v>0</v>
      </c>
    </row>
    <row r="93" spans="1:17" hidden="1" x14ac:dyDescent="0.2">
      <c r="A93" s="49"/>
      <c r="B93" s="171"/>
      <c r="C93" s="50"/>
      <c r="D93" s="50"/>
      <c r="E93" s="172"/>
      <c r="F93" s="173"/>
      <c r="G93" s="226"/>
      <c r="H93" s="174"/>
      <c r="I93" s="174"/>
      <c r="J93" s="174"/>
      <c r="K93" s="175">
        <f t="shared" si="6"/>
        <v>0</v>
      </c>
      <c r="L93" s="176"/>
      <c r="M93" s="177"/>
      <c r="N93" s="178">
        <f t="shared" si="7"/>
        <v>0</v>
      </c>
      <c r="O93" s="178">
        <f t="shared" si="8"/>
        <v>38830.117712072781</v>
      </c>
      <c r="P93" s="178">
        <f t="shared" si="9"/>
        <v>0</v>
      </c>
      <c r="Q93" s="179">
        <f t="shared" si="10"/>
        <v>0</v>
      </c>
    </row>
    <row r="94" spans="1:17" hidden="1" x14ac:dyDescent="0.2">
      <c r="A94" s="49"/>
      <c r="B94" s="171"/>
      <c r="C94" s="50"/>
      <c r="D94" s="50"/>
      <c r="E94" s="172"/>
      <c r="F94" s="173"/>
      <c r="G94" s="58"/>
      <c r="H94" s="174"/>
      <c r="I94" s="174"/>
      <c r="J94" s="174"/>
      <c r="K94" s="175">
        <f t="shared" si="6"/>
        <v>0</v>
      </c>
      <c r="L94" s="176"/>
      <c r="M94" s="177"/>
      <c r="N94" s="178">
        <f t="shared" si="7"/>
        <v>0</v>
      </c>
      <c r="O94" s="178">
        <f t="shared" si="8"/>
        <v>38830.117712072781</v>
      </c>
      <c r="P94" s="178">
        <f t="shared" si="9"/>
        <v>0</v>
      </c>
      <c r="Q94" s="179">
        <f t="shared" si="10"/>
        <v>0</v>
      </c>
    </row>
    <row r="95" spans="1:17" hidden="1" x14ac:dyDescent="0.2">
      <c r="A95" s="49"/>
      <c r="B95" s="171"/>
      <c r="C95" s="50"/>
      <c r="D95" s="50"/>
      <c r="E95" s="172"/>
      <c r="F95" s="173"/>
      <c r="G95" s="58"/>
      <c r="H95" s="174"/>
      <c r="I95" s="174"/>
      <c r="J95" s="174"/>
      <c r="K95" s="175">
        <f t="shared" si="6"/>
        <v>0</v>
      </c>
      <c r="L95" s="176"/>
      <c r="M95" s="177"/>
      <c r="N95" s="178">
        <f t="shared" si="7"/>
        <v>0</v>
      </c>
      <c r="O95" s="178">
        <f t="shared" si="8"/>
        <v>38830.117712072781</v>
      </c>
      <c r="P95" s="178">
        <f t="shared" si="9"/>
        <v>0</v>
      </c>
      <c r="Q95" s="179">
        <f t="shared" si="10"/>
        <v>0</v>
      </c>
    </row>
    <row r="96" spans="1:17" hidden="1" x14ac:dyDescent="0.2">
      <c r="A96" s="49"/>
      <c r="B96" s="171"/>
      <c r="C96" s="184"/>
      <c r="D96" s="185"/>
      <c r="E96" s="172"/>
      <c r="F96" s="173"/>
      <c r="G96" s="58"/>
      <c r="H96" s="174"/>
      <c r="I96" s="174"/>
      <c r="J96" s="174"/>
      <c r="K96" s="175">
        <f t="shared" si="6"/>
        <v>0</v>
      </c>
      <c r="L96" s="176"/>
      <c r="M96" s="177"/>
      <c r="N96" s="178">
        <f t="shared" si="7"/>
        <v>0</v>
      </c>
      <c r="O96" s="178">
        <f t="shared" si="8"/>
        <v>38830.117712072781</v>
      </c>
      <c r="P96" s="178">
        <f t="shared" si="9"/>
        <v>0</v>
      </c>
      <c r="Q96" s="179">
        <f t="shared" si="10"/>
        <v>0</v>
      </c>
    </row>
    <row r="97" spans="1:17" hidden="1" x14ac:dyDescent="0.2">
      <c r="A97" s="49"/>
      <c r="B97" s="171"/>
      <c r="C97" s="50"/>
      <c r="D97" s="50"/>
      <c r="E97" s="172"/>
      <c r="F97" s="173"/>
      <c r="G97" s="58"/>
      <c r="H97" s="174"/>
      <c r="I97" s="174"/>
      <c r="J97" s="174"/>
      <c r="K97" s="175">
        <f t="shared" si="6"/>
        <v>0</v>
      </c>
      <c r="L97" s="176"/>
      <c r="M97" s="177"/>
      <c r="N97" s="178">
        <f t="shared" si="7"/>
        <v>0</v>
      </c>
      <c r="O97" s="178">
        <f t="shared" si="8"/>
        <v>38830.117712072781</v>
      </c>
      <c r="P97" s="178">
        <f t="shared" si="9"/>
        <v>0</v>
      </c>
      <c r="Q97" s="179">
        <f t="shared" si="10"/>
        <v>0</v>
      </c>
    </row>
    <row r="98" spans="1:17" hidden="1" x14ac:dyDescent="0.2">
      <c r="A98" s="49"/>
      <c r="B98" s="171"/>
      <c r="C98" s="184"/>
      <c r="D98" s="185"/>
      <c r="E98" s="172"/>
      <c r="F98" s="173"/>
      <c r="G98" s="58"/>
      <c r="H98" s="174"/>
      <c r="I98" s="174"/>
      <c r="J98" s="174"/>
      <c r="K98" s="175">
        <f t="shared" si="6"/>
        <v>0</v>
      </c>
      <c r="L98" s="176"/>
      <c r="M98" s="177"/>
      <c r="N98" s="178">
        <f t="shared" si="7"/>
        <v>0</v>
      </c>
      <c r="O98" s="178">
        <f t="shared" si="8"/>
        <v>38830.117712072781</v>
      </c>
      <c r="P98" s="178">
        <f t="shared" si="9"/>
        <v>0</v>
      </c>
      <c r="Q98" s="179">
        <f t="shared" si="10"/>
        <v>0</v>
      </c>
    </row>
    <row r="99" spans="1:17" hidden="1" x14ac:dyDescent="0.2">
      <c r="A99" s="49"/>
      <c r="B99" s="171"/>
      <c r="C99" s="50"/>
      <c r="D99" s="50"/>
      <c r="E99" s="172"/>
      <c r="F99" s="173"/>
      <c r="G99" s="58"/>
      <c r="H99" s="174"/>
      <c r="I99" s="174"/>
      <c r="J99" s="174"/>
      <c r="K99" s="175">
        <f t="shared" si="6"/>
        <v>0</v>
      </c>
      <c r="L99" s="176"/>
      <c r="M99" s="177"/>
      <c r="N99" s="178">
        <f t="shared" si="7"/>
        <v>0</v>
      </c>
      <c r="O99" s="178">
        <f t="shared" si="8"/>
        <v>38830.117712072781</v>
      </c>
      <c r="P99" s="178">
        <f t="shared" si="9"/>
        <v>0</v>
      </c>
      <c r="Q99" s="179">
        <f t="shared" si="10"/>
        <v>0</v>
      </c>
    </row>
    <row r="100" spans="1:17" hidden="1" x14ac:dyDescent="0.2">
      <c r="A100" s="49"/>
      <c r="B100" s="171"/>
      <c r="C100" s="184"/>
      <c r="D100" s="185"/>
      <c r="E100" s="172"/>
      <c r="F100" s="173"/>
      <c r="G100" s="58"/>
      <c r="H100" s="174"/>
      <c r="I100" s="174"/>
      <c r="J100" s="174"/>
      <c r="K100" s="175">
        <f t="shared" ref="K100:K106" si="11">F100-E100</f>
        <v>0</v>
      </c>
      <c r="L100" s="176"/>
      <c r="M100" s="177"/>
      <c r="N100" s="178">
        <f t="shared" ref="N100:N106" si="12">IF(L100="",K100*$K$28,IF($N$32="Seção cheia",(2*$N$28+3*L100)*L100*K100/2,(2*$N$28+3*L100)*L100*K100/4))</f>
        <v>0</v>
      </c>
      <c r="O100" s="178">
        <f t="shared" ref="O100:O131" si="13">N100+O99</f>
        <v>38830.117712072781</v>
      </c>
      <c r="P100" s="178">
        <f t="shared" ref="P100:P106" si="14">K100*$N$28</f>
        <v>0</v>
      </c>
      <c r="Q100" s="179">
        <f t="shared" ref="Q100:Q106" si="15">IF(M100="DMT≤50 (3ª Cat)",0,IF(H100="",IF($E$131="Sim",N100,0),N100))</f>
        <v>0</v>
      </c>
    </row>
    <row r="101" spans="1:17" hidden="1" x14ac:dyDescent="0.2">
      <c r="A101" s="49"/>
      <c r="B101" s="171"/>
      <c r="C101" s="50"/>
      <c r="D101" s="50"/>
      <c r="E101" s="172"/>
      <c r="F101" s="173"/>
      <c r="G101" s="58"/>
      <c r="H101" s="174"/>
      <c r="I101" s="174"/>
      <c r="J101" s="174"/>
      <c r="K101" s="175">
        <f t="shared" si="11"/>
        <v>0</v>
      </c>
      <c r="L101" s="176"/>
      <c r="M101" s="177"/>
      <c r="N101" s="178">
        <f t="shared" si="12"/>
        <v>0</v>
      </c>
      <c r="O101" s="178">
        <f t="shared" si="13"/>
        <v>38830.117712072781</v>
      </c>
      <c r="P101" s="178">
        <f t="shared" si="14"/>
        <v>0</v>
      </c>
      <c r="Q101" s="179">
        <f t="shared" si="15"/>
        <v>0</v>
      </c>
    </row>
    <row r="102" spans="1:17" hidden="1" x14ac:dyDescent="0.2">
      <c r="A102" s="49"/>
      <c r="B102" s="171"/>
      <c r="C102" s="50"/>
      <c r="D102" s="50"/>
      <c r="E102" s="172"/>
      <c r="F102" s="227"/>
      <c r="G102" s="58"/>
      <c r="H102" s="174"/>
      <c r="I102" s="174"/>
      <c r="J102" s="174"/>
      <c r="K102" s="175">
        <f t="shared" si="11"/>
        <v>0</v>
      </c>
      <c r="L102" s="176"/>
      <c r="M102" s="177"/>
      <c r="N102" s="178">
        <f t="shared" si="12"/>
        <v>0</v>
      </c>
      <c r="O102" s="178">
        <f t="shared" si="13"/>
        <v>38830.117712072781</v>
      </c>
      <c r="P102" s="178">
        <f t="shared" si="14"/>
        <v>0</v>
      </c>
      <c r="Q102" s="179">
        <f t="shared" si="15"/>
        <v>0</v>
      </c>
    </row>
    <row r="103" spans="1:17" hidden="1" x14ac:dyDescent="0.2">
      <c r="A103" s="228"/>
      <c r="B103" s="229"/>
      <c r="C103" s="230"/>
      <c r="D103" s="230"/>
      <c r="E103" s="231"/>
      <c r="F103" s="232"/>
      <c r="G103" s="233"/>
      <c r="H103" s="234"/>
      <c r="I103" s="234"/>
      <c r="J103" s="234"/>
      <c r="K103" s="175">
        <f t="shared" si="11"/>
        <v>0</v>
      </c>
      <c r="L103" s="235"/>
      <c r="M103" s="236"/>
      <c r="N103" s="237">
        <f t="shared" si="12"/>
        <v>0</v>
      </c>
      <c r="O103" s="237">
        <f t="shared" si="13"/>
        <v>38830.117712072781</v>
      </c>
      <c r="P103" s="237">
        <f t="shared" si="14"/>
        <v>0</v>
      </c>
      <c r="Q103" s="238">
        <f t="shared" si="15"/>
        <v>0</v>
      </c>
    </row>
    <row r="104" spans="1:17" hidden="1" x14ac:dyDescent="0.2">
      <c r="A104" s="239"/>
      <c r="B104" s="240"/>
      <c r="C104" s="199"/>
      <c r="D104" s="199"/>
      <c r="E104" s="172"/>
      <c r="F104" s="241"/>
      <c r="G104" s="242"/>
      <c r="H104" s="240"/>
      <c r="I104" s="240"/>
      <c r="J104" s="240"/>
      <c r="K104" s="175">
        <f t="shared" si="11"/>
        <v>0</v>
      </c>
      <c r="L104" s="240"/>
      <c r="M104" s="177"/>
      <c r="N104" s="243">
        <f t="shared" si="12"/>
        <v>0</v>
      </c>
      <c r="O104" s="243">
        <f t="shared" si="13"/>
        <v>38830.117712072781</v>
      </c>
      <c r="P104" s="243">
        <f t="shared" si="14"/>
        <v>0</v>
      </c>
      <c r="Q104" s="244">
        <f t="shared" si="15"/>
        <v>0</v>
      </c>
    </row>
    <row r="105" spans="1:17" hidden="1" x14ac:dyDescent="0.2">
      <c r="A105" s="245"/>
      <c r="B105" s="176"/>
      <c r="C105" s="50"/>
      <c r="D105" s="50"/>
      <c r="E105" s="172">
        <f>F104</f>
        <v>0</v>
      </c>
      <c r="F105" s="227"/>
      <c r="G105" s="246"/>
      <c r="H105" s="240"/>
      <c r="I105" s="176"/>
      <c r="J105" s="176"/>
      <c r="K105" s="175">
        <f t="shared" si="11"/>
        <v>0</v>
      </c>
      <c r="L105" s="176"/>
      <c r="M105" s="177"/>
      <c r="N105" s="178">
        <f t="shared" si="12"/>
        <v>0</v>
      </c>
      <c r="O105" s="178">
        <f t="shared" si="13"/>
        <v>38830.117712072781</v>
      </c>
      <c r="P105" s="178">
        <f t="shared" si="14"/>
        <v>0</v>
      </c>
      <c r="Q105" s="179">
        <f t="shared" si="15"/>
        <v>0</v>
      </c>
    </row>
    <row r="106" spans="1:17" hidden="1" x14ac:dyDescent="0.2">
      <c r="A106" s="245"/>
      <c r="B106" s="176"/>
      <c r="C106" s="50"/>
      <c r="D106" s="50"/>
      <c r="E106" s="172">
        <f>F105</f>
        <v>0</v>
      </c>
      <c r="F106" s="227"/>
      <c r="G106" s="246"/>
      <c r="H106" s="240"/>
      <c r="I106" s="176"/>
      <c r="J106" s="176"/>
      <c r="K106" s="175">
        <f t="shared" si="11"/>
        <v>0</v>
      </c>
      <c r="L106" s="247"/>
      <c r="M106" s="177"/>
      <c r="N106" s="178">
        <f t="shared" si="12"/>
        <v>0</v>
      </c>
      <c r="O106" s="178">
        <f t="shared" si="13"/>
        <v>38830.117712072781</v>
      </c>
      <c r="P106" s="178">
        <f t="shared" si="14"/>
        <v>0</v>
      </c>
      <c r="Q106" s="179">
        <f t="shared" si="15"/>
        <v>0</v>
      </c>
    </row>
    <row r="107" spans="1:17" x14ac:dyDescent="0.2">
      <c r="A107" s="248" t="s">
        <v>127</v>
      </c>
      <c r="B107" s="249"/>
      <c r="C107" s="249"/>
      <c r="D107" s="249"/>
      <c r="E107" s="249"/>
      <c r="F107" s="249"/>
      <c r="G107" s="249"/>
      <c r="H107" s="250" t="s">
        <v>45</v>
      </c>
      <c r="I107" s="251">
        <f>SUMIF($H$36:H106,$H$2,$I$36:I106)</f>
        <v>0</v>
      </c>
      <c r="J107" s="252">
        <f>SUMIF($H$36:H106,$H$2,$J$36:J106)</f>
        <v>0</v>
      </c>
      <c r="K107" s="253">
        <f>ROUND(SUM(K36:K106),2)</f>
        <v>12150</v>
      </c>
      <c r="L107" s="254"/>
      <c r="M107" s="255"/>
      <c r="N107" s="256"/>
      <c r="O107" s="257">
        <f>ROUND(O106,2)</f>
        <v>38830.120000000003</v>
      </c>
      <c r="P107" s="258">
        <f>ROUND(SUM(P36:P106),2)</f>
        <v>76545</v>
      </c>
      <c r="Q107" s="259">
        <f>ROUND(SUM(Q36:Q106),2)</f>
        <v>38830.120000000003</v>
      </c>
    </row>
    <row r="108" spans="1:17" x14ac:dyDescent="0.2">
      <c r="A108" s="260"/>
      <c r="B108" s="261"/>
      <c r="C108" s="261"/>
      <c r="D108" s="261"/>
      <c r="E108" s="261"/>
      <c r="F108" s="261"/>
      <c r="G108" s="261"/>
      <c r="H108" s="262" t="s">
        <v>49</v>
      </c>
      <c r="I108" s="263">
        <f>SUMIF($H$36:H106,$H$3,$I$36:I106)</f>
        <v>33</v>
      </c>
      <c r="J108" s="264">
        <f>SUMIF($H$36:H106,$H$3,$J$36:J106)</f>
        <v>8</v>
      </c>
      <c r="K108" s="265"/>
      <c r="L108" s="266"/>
      <c r="M108" s="267"/>
      <c r="N108" s="268"/>
      <c r="O108" s="269"/>
      <c r="P108" s="270"/>
      <c r="Q108" s="271"/>
    </row>
    <row r="109" spans="1:17" x14ac:dyDescent="0.2">
      <c r="A109" s="260"/>
      <c r="B109" s="261"/>
      <c r="C109" s="261"/>
      <c r="D109" s="261"/>
      <c r="E109" s="261"/>
      <c r="F109" s="261"/>
      <c r="G109" s="272"/>
      <c r="H109" s="262" t="s">
        <v>53</v>
      </c>
      <c r="I109" s="263">
        <f>SUMIF($H$36:H106,$H$4,$I$36:I106)</f>
        <v>0</v>
      </c>
      <c r="J109" s="264">
        <f>SUMIF($H$36:H106,$H$4,$J$36:J106)</f>
        <v>0</v>
      </c>
      <c r="K109" s="265"/>
      <c r="L109" s="266"/>
      <c r="M109" s="266"/>
      <c r="N109" s="266"/>
      <c r="O109" s="269"/>
      <c r="P109" s="270"/>
      <c r="Q109" s="273"/>
    </row>
    <row r="110" spans="1:17" x14ac:dyDescent="0.2">
      <c r="A110" s="260"/>
      <c r="B110" s="261"/>
      <c r="C110" s="261"/>
      <c r="D110" s="261"/>
      <c r="E110" s="261"/>
      <c r="F110" s="261"/>
      <c r="G110" s="272"/>
      <c r="H110" s="262" t="s">
        <v>56</v>
      </c>
      <c r="I110" s="263">
        <f>SUMIF($H$36:H106,$H$5,$I$36:I106)</f>
        <v>36</v>
      </c>
      <c r="J110" s="264">
        <f>SUMIF($H$36:H106,$H$5,$J$36:J106)</f>
        <v>8</v>
      </c>
      <c r="K110" s="265"/>
      <c r="L110" s="266"/>
      <c r="M110" s="274" t="s">
        <v>128</v>
      </c>
      <c r="N110" s="266"/>
      <c r="O110" s="269"/>
      <c r="P110" s="270"/>
      <c r="Q110" s="273"/>
    </row>
    <row r="111" spans="1:17" x14ac:dyDescent="0.2">
      <c r="A111" s="260"/>
      <c r="B111" s="261"/>
      <c r="C111" s="261"/>
      <c r="D111" s="261"/>
      <c r="E111" s="261"/>
      <c r="F111" s="261"/>
      <c r="G111" s="272"/>
      <c r="H111" s="262" t="s">
        <v>58</v>
      </c>
      <c r="I111" s="263">
        <f>SUMIF($H$36:H106,$H$6,$I$36:I106)</f>
        <v>0</v>
      </c>
      <c r="J111" s="264">
        <f>SUMIF($H$36:H106,$H$6,$J$36:J106)</f>
        <v>0</v>
      </c>
      <c r="K111" s="265"/>
      <c r="L111" s="266"/>
      <c r="M111" s="275" t="s">
        <v>129</v>
      </c>
      <c r="N111" s="276">
        <f>ROUND(O107-(SUM(N112:N122)),2)</f>
        <v>7855.12</v>
      </c>
      <c r="O111" s="269"/>
      <c r="P111" s="270"/>
      <c r="Q111" s="273"/>
    </row>
    <row r="112" spans="1:17" x14ac:dyDescent="0.2">
      <c r="A112" s="260"/>
      <c r="B112" s="261"/>
      <c r="C112" s="261"/>
      <c r="D112" s="261"/>
      <c r="E112" s="261"/>
      <c r="F112" s="261"/>
      <c r="G112" s="272"/>
      <c r="H112" s="262" t="s">
        <v>60</v>
      </c>
      <c r="I112" s="263">
        <f>SUMIF($H$36:H106,$H$7,$I$36:I106)</f>
        <v>0</v>
      </c>
      <c r="J112" s="264">
        <f>SUMIF($H$36:H106,$H$7,$J$36:J106)</f>
        <v>0</v>
      </c>
      <c r="K112" s="265"/>
      <c r="L112" s="266"/>
      <c r="M112" s="277" t="s">
        <v>47</v>
      </c>
      <c r="N112" s="278">
        <f>SUMIF($M$35:$M$106,"DMT≤50",$N$35:$N$106)</f>
        <v>0</v>
      </c>
      <c r="O112" s="269"/>
      <c r="P112" s="270"/>
      <c r="Q112" s="273"/>
    </row>
    <row r="113" spans="1:17" x14ac:dyDescent="0.2">
      <c r="A113" s="260"/>
      <c r="B113" s="261"/>
      <c r="C113" s="261"/>
      <c r="D113" s="261"/>
      <c r="E113" s="261"/>
      <c r="F113" s="261"/>
      <c r="G113" s="272"/>
      <c r="H113" s="262" t="s">
        <v>62</v>
      </c>
      <c r="I113" s="263">
        <f>SUMIF($H$36:H106,$H$8,$I$36:I106)</f>
        <v>0</v>
      </c>
      <c r="J113" s="264">
        <f>SUMIF($H$36:H106,$H$8,$J$36:J106)</f>
        <v>0</v>
      </c>
      <c r="K113" s="265"/>
      <c r="L113" s="266"/>
      <c r="M113" s="277" t="s">
        <v>52</v>
      </c>
      <c r="N113" s="278">
        <f>SUMIF($M$35:$M$106,"50&lt;DMT≤200",$N$35:$N$106)</f>
        <v>0</v>
      </c>
      <c r="O113" s="269"/>
      <c r="P113" s="270"/>
      <c r="Q113" s="273"/>
    </row>
    <row r="114" spans="1:17" ht="15" customHeight="1" x14ac:dyDescent="0.2">
      <c r="A114" s="1327" t="s">
        <v>130</v>
      </c>
      <c r="B114" s="1327"/>
      <c r="C114" s="1327"/>
      <c r="D114" s="1327"/>
      <c r="E114" s="1327"/>
      <c r="F114" s="1327"/>
      <c r="G114" s="1327"/>
      <c r="H114" s="262" t="s">
        <v>64</v>
      </c>
      <c r="I114" s="263">
        <f>SUMIF($H$36:H106,$H$9,$I$36:I106)</f>
        <v>0</v>
      </c>
      <c r="J114" s="264">
        <f>SUMIF($H$36:H106,$H$9,$J$36:J106)</f>
        <v>0</v>
      </c>
      <c r="K114" s="265"/>
      <c r="L114" s="266"/>
      <c r="M114" s="277" t="s">
        <v>55</v>
      </c>
      <c r="N114" s="278">
        <f>SUMIF($M$35:$M$106,"200&lt;DMT≤400",$N$35:$N$106)</f>
        <v>30975</v>
      </c>
      <c r="O114" s="269"/>
      <c r="P114" s="270"/>
      <c r="Q114" s="273"/>
    </row>
    <row r="115" spans="1:17" x14ac:dyDescent="0.2">
      <c r="A115" s="1327"/>
      <c r="B115" s="1327"/>
      <c r="C115" s="1327"/>
      <c r="D115" s="1327"/>
      <c r="E115" s="1327"/>
      <c r="F115" s="1327"/>
      <c r="G115" s="1327"/>
      <c r="H115" s="262" t="s">
        <v>66</v>
      </c>
      <c r="I115" s="263">
        <f>SUMIF($H$36:H106,$H$10,$I$36:I106)</f>
        <v>0</v>
      </c>
      <c r="J115" s="264">
        <f>SUMIF($H$36:H106,$H$10,$J$36:J106)</f>
        <v>0</v>
      </c>
      <c r="K115" s="265"/>
      <c r="L115" s="266"/>
      <c r="M115" s="277" t="s">
        <v>57</v>
      </c>
      <c r="N115" s="278">
        <f>SUMIF($M$35:$M$106,"400&lt;DMT≤600",$N$35:$N$106)</f>
        <v>0</v>
      </c>
      <c r="O115" s="269"/>
      <c r="P115" s="270"/>
      <c r="Q115" s="273"/>
    </row>
    <row r="116" spans="1:17" ht="15" customHeight="1" x14ac:dyDescent="0.2">
      <c r="A116" s="1328" t="s">
        <v>131</v>
      </c>
      <c r="B116" s="1328"/>
      <c r="C116" s="1328"/>
      <c r="D116" s="1328"/>
      <c r="E116" s="1328"/>
      <c r="F116" s="1328"/>
      <c r="G116" s="1328"/>
      <c r="H116" s="262" t="s">
        <v>68</v>
      </c>
      <c r="I116" s="263">
        <f>SUMIF($H$36:H106,$H$11,$I$36:I106)</f>
        <v>63</v>
      </c>
      <c r="J116" s="264">
        <f>SUMIF($H$36:H106,$H$11,$J$36:J106)</f>
        <v>14</v>
      </c>
      <c r="K116" s="265"/>
      <c r="L116" s="266"/>
      <c r="M116" s="277" t="s">
        <v>59</v>
      </c>
      <c r="N116" s="278">
        <f>SUMIF($M$35:$M$106,"600&lt;DMT≤800",$N$35:$N$106)</f>
        <v>0</v>
      </c>
      <c r="O116" s="269"/>
      <c r="P116" s="270"/>
      <c r="Q116" s="273"/>
    </row>
    <row r="117" spans="1:17" x14ac:dyDescent="0.2">
      <c r="A117" s="1328"/>
      <c r="B117" s="1328"/>
      <c r="C117" s="1328"/>
      <c r="D117" s="1328"/>
      <c r="E117" s="1328"/>
      <c r="F117" s="1328"/>
      <c r="G117" s="1328"/>
      <c r="H117" s="262" t="s">
        <v>70</v>
      </c>
      <c r="I117" s="263">
        <f>SUMIF($H$36:H106,$H$12,$I$36:I106)</f>
        <v>0</v>
      </c>
      <c r="J117" s="264">
        <f>SUMIF($H$36:H106,$H$12,$J$36:J106)</f>
        <v>0</v>
      </c>
      <c r="K117" s="265"/>
      <c r="L117" s="266"/>
      <c r="M117" s="277" t="s">
        <v>61</v>
      </c>
      <c r="N117" s="278">
        <f>SUMIF($M$35:$M$106,"800&lt;DMT≤1000",$N$35:$N$106)</f>
        <v>0</v>
      </c>
      <c r="O117" s="269"/>
      <c r="P117" s="270"/>
      <c r="Q117" s="273"/>
    </row>
    <row r="118" spans="1:17" x14ac:dyDescent="0.2">
      <c r="A118" s="279"/>
      <c r="B118" s="280"/>
      <c r="C118" s="280"/>
      <c r="D118" s="280"/>
      <c r="E118" s="280"/>
      <c r="F118" s="280"/>
      <c r="G118" s="281"/>
      <c r="H118" s="262" t="s">
        <v>72</v>
      </c>
      <c r="I118" s="263">
        <f>SUMIF($H$36:H106,$H$13,$I$36:I106)</f>
        <v>0</v>
      </c>
      <c r="J118" s="264">
        <f>SUMIF($H$36:H106,$H$13,$J$36:J106)</f>
        <v>0</v>
      </c>
      <c r="K118" s="265"/>
      <c r="L118" s="266"/>
      <c r="M118" s="277" t="s">
        <v>63</v>
      </c>
      <c r="N118" s="278">
        <f>SUMIF($M$35:$M$106,"DMT&gt;1000",$N$35:$N$106)</f>
        <v>0</v>
      </c>
      <c r="O118" s="269"/>
      <c r="P118" s="270"/>
      <c r="Q118" s="273"/>
    </row>
    <row r="119" spans="1:17" x14ac:dyDescent="0.2">
      <c r="A119" s="282"/>
      <c r="B119" s="282"/>
      <c r="C119" s="282"/>
      <c r="D119" s="282"/>
      <c r="E119" s="282"/>
      <c r="F119" s="282"/>
      <c r="G119" s="282"/>
      <c r="H119" s="262" t="s">
        <v>73</v>
      </c>
      <c r="I119" s="263">
        <f>SUMIF($H$36:H106,$H$14,$I$36:I106)</f>
        <v>0</v>
      </c>
      <c r="J119" s="283">
        <f>SUMIF($H$36:H106,$H$14,$J$36:J106)</f>
        <v>0</v>
      </c>
      <c r="K119" s="265"/>
      <c r="L119" s="266"/>
      <c r="M119" s="277" t="s">
        <v>65</v>
      </c>
      <c r="N119" s="278">
        <f>SUMIF($M$35:$M$106,"DMT≤50 (2ª Cat)",$N$35:$N$106)</f>
        <v>0</v>
      </c>
      <c r="O119" s="269"/>
      <c r="P119" s="270"/>
      <c r="Q119" s="273"/>
    </row>
    <row r="120" spans="1:17" x14ac:dyDescent="0.2">
      <c r="A120" s="282"/>
      <c r="B120" s="266"/>
      <c r="C120" s="284" t="s">
        <v>132</v>
      </c>
      <c r="D120" s="266"/>
      <c r="E120" s="285"/>
      <c r="F120" s="285"/>
      <c r="G120" s="282"/>
      <c r="H120" s="262" t="s">
        <v>74</v>
      </c>
      <c r="I120" s="263">
        <f>SUMIF($H$36:H106,$H$15,$I$36:I106)</f>
        <v>0</v>
      </c>
      <c r="J120" s="283">
        <f>SUMIF($H$36:H106,$H$15,$J$36:J106)</f>
        <v>0</v>
      </c>
      <c r="K120" s="265"/>
      <c r="L120" s="266"/>
      <c r="M120" s="277" t="s">
        <v>67</v>
      </c>
      <c r="N120" s="278">
        <f>SUMIF($M$35:$M$106,"50&lt;DMT≤200 (2ª Cat)",$N$35:$N$106)</f>
        <v>0</v>
      </c>
      <c r="O120" s="269"/>
      <c r="P120" s="270"/>
      <c r="Q120" s="273"/>
    </row>
    <row r="121" spans="1:17" x14ac:dyDescent="0.2">
      <c r="A121" s="282"/>
      <c r="B121" s="286" t="s">
        <v>133</v>
      </c>
      <c r="C121" s="266"/>
      <c r="D121" s="266"/>
      <c r="E121" s="285"/>
      <c r="F121" s="285"/>
      <c r="G121" s="282"/>
      <c r="H121" s="262" t="s">
        <v>75</v>
      </c>
      <c r="I121" s="263">
        <f>SUMIF($H$36:H106,$H$16,$I$36:I106)</f>
        <v>0</v>
      </c>
      <c r="J121" s="264">
        <f>SUMIF($H$36:H106,$H$16,$J$36:J106)</f>
        <v>0</v>
      </c>
      <c r="K121" s="265"/>
      <c r="L121" s="266"/>
      <c r="M121" s="277" t="s">
        <v>69</v>
      </c>
      <c r="N121" s="278">
        <f>SUMIF($M$35:$M$106,"200&lt;DMT≤1000 (2ª Cat)",$N$35:$N$106)</f>
        <v>0</v>
      </c>
      <c r="O121" s="269"/>
      <c r="P121" s="270"/>
      <c r="Q121" s="273"/>
    </row>
    <row r="122" spans="1:17" x14ac:dyDescent="0.2">
      <c r="A122" s="266"/>
      <c r="B122" s="287"/>
      <c r="C122" s="288"/>
      <c r="D122" s="289" t="s">
        <v>134</v>
      </c>
      <c r="E122" s="290">
        <v>8</v>
      </c>
      <c r="F122" s="291" t="s">
        <v>135</v>
      </c>
      <c r="G122" s="282"/>
      <c r="H122" s="262" t="s">
        <v>76</v>
      </c>
      <c r="I122" s="263">
        <f>SUMIF($H$36:H106,$H$17,$I$36:I106)</f>
        <v>0</v>
      </c>
      <c r="J122" s="264">
        <f>SUMIF($H$36:H106,$H$17,$J$36:J106)</f>
        <v>0</v>
      </c>
      <c r="K122" s="265"/>
      <c r="L122" s="266"/>
      <c r="M122" s="292" t="s">
        <v>71</v>
      </c>
      <c r="N122" s="293">
        <f>SUMIF($M$35:$M$106,"DMT≤50 (3ª Cat)",$N$35:$N$106)</f>
        <v>0</v>
      </c>
      <c r="O122" s="269"/>
      <c r="P122" s="270"/>
      <c r="Q122" s="273"/>
    </row>
    <row r="123" spans="1:17" x14ac:dyDescent="0.2">
      <c r="A123" s="266"/>
      <c r="B123" s="294"/>
      <c r="C123" s="295"/>
      <c r="D123" s="296" t="s">
        <v>136</v>
      </c>
      <c r="E123" s="297">
        <v>4</v>
      </c>
      <c r="F123" s="298" t="s">
        <v>135</v>
      </c>
      <c r="G123" s="266"/>
      <c r="H123" s="262" t="s">
        <v>77</v>
      </c>
      <c r="I123" s="263">
        <f>SUMIF($H$36:H106,$H$18,$I$36:I106)</f>
        <v>0</v>
      </c>
      <c r="J123" s="264">
        <f>SUMIF($H$36:H106,$H$18,$J$36:J106)</f>
        <v>0</v>
      </c>
      <c r="K123" s="265"/>
      <c r="L123" s="266"/>
      <c r="M123" s="267"/>
      <c r="N123" s="299"/>
      <c r="O123" s="269"/>
      <c r="P123" s="270"/>
      <c r="Q123" s="273"/>
    </row>
    <row r="124" spans="1:17" x14ac:dyDescent="0.2">
      <c r="A124" s="266"/>
      <c r="B124" s="300"/>
      <c r="C124" s="301"/>
      <c r="D124" s="302" t="s">
        <v>137</v>
      </c>
      <c r="E124" s="303">
        <v>0</v>
      </c>
      <c r="F124" s="304" t="s">
        <v>135</v>
      </c>
      <c r="G124" s="266"/>
      <c r="H124" s="262" t="s">
        <v>78</v>
      </c>
      <c r="I124" s="263">
        <f>SUMIF($H$36:H106,$H$19,$I$36:I106)</f>
        <v>0</v>
      </c>
      <c r="J124" s="264">
        <f>SUMIF($H$36:H106,$H$19,$J$36:J106)</f>
        <v>0</v>
      </c>
      <c r="K124" s="265"/>
      <c r="L124" s="266"/>
      <c r="M124" s="267"/>
      <c r="N124" s="299"/>
      <c r="O124" s="269"/>
      <c r="P124" s="270"/>
      <c r="Q124" s="273"/>
    </row>
    <row r="125" spans="1:17" x14ac:dyDescent="0.2">
      <c r="A125" s="266"/>
      <c r="B125" s="121"/>
      <c r="C125" s="121"/>
      <c r="D125" s="121"/>
      <c r="E125" s="121"/>
      <c r="F125" s="266"/>
      <c r="G125" s="266"/>
      <c r="H125" s="262" t="s">
        <v>79</v>
      </c>
      <c r="I125" s="263">
        <f>SUMIF($H$36:H106,$H$20,$I$36:I106)</f>
        <v>0</v>
      </c>
      <c r="J125" s="264"/>
      <c r="K125" s="265"/>
      <c r="L125" s="266"/>
      <c r="M125" s="267"/>
      <c r="N125" s="299"/>
      <c r="O125" s="269"/>
      <c r="P125" s="270"/>
      <c r="Q125" s="273"/>
    </row>
    <row r="126" spans="1:17" x14ac:dyDescent="0.2">
      <c r="A126" s="266"/>
      <c r="B126" s="286" t="s">
        <v>138</v>
      </c>
      <c r="C126" s="284"/>
      <c r="D126" s="284"/>
      <c r="E126" s="305"/>
      <c r="F126" s="305"/>
      <c r="G126" s="266"/>
      <c r="H126" s="306" t="s">
        <v>80</v>
      </c>
      <c r="I126" s="263">
        <f>SUMIF($H$36:H106,$H$21,$I$36:I106)</f>
        <v>0</v>
      </c>
      <c r="J126" s="264"/>
      <c r="K126" s="265"/>
      <c r="L126" s="266"/>
      <c r="M126" s="267"/>
      <c r="N126" s="299"/>
      <c r="O126" s="269"/>
      <c r="P126" s="270"/>
      <c r="Q126" s="273"/>
    </row>
    <row r="127" spans="1:17" x14ac:dyDescent="0.2">
      <c r="A127" s="266"/>
      <c r="B127" s="287"/>
      <c r="C127" s="288"/>
      <c r="D127" s="307" t="s">
        <v>139</v>
      </c>
      <c r="E127" s="308">
        <f>((E129)*(((E128+E130)/2)))</f>
        <v>0.90288709334169837</v>
      </c>
      <c r="F127" s="309" t="s">
        <v>140</v>
      </c>
      <c r="G127" s="266"/>
      <c r="H127" s="262" t="s">
        <v>81</v>
      </c>
      <c r="I127" s="263">
        <f>SUMIF($H$36:H106,$H$22,$I$36:I106)</f>
        <v>0</v>
      </c>
      <c r="J127" s="264"/>
      <c r="K127" s="265"/>
      <c r="L127" s="266"/>
      <c r="M127" s="266"/>
      <c r="N127" s="299"/>
      <c r="O127" s="269"/>
      <c r="P127" s="270"/>
      <c r="Q127" s="273"/>
    </row>
    <row r="128" spans="1:17" x14ac:dyDescent="0.2">
      <c r="A128" s="266"/>
      <c r="B128" s="294"/>
      <c r="C128" s="295"/>
      <c r="D128" s="310" t="s">
        <v>141</v>
      </c>
      <c r="E128" s="297">
        <v>6.3</v>
      </c>
      <c r="F128" s="311" t="s">
        <v>135</v>
      </c>
      <c r="G128" s="285"/>
      <c r="H128" s="312" t="s">
        <v>82</v>
      </c>
      <c r="I128" s="313">
        <f>SUMIF($H$36:H106,$H$23,$I$36:I106)</f>
        <v>0</v>
      </c>
      <c r="J128" s="314"/>
      <c r="K128" s="315"/>
      <c r="L128" s="316"/>
      <c r="M128" s="317"/>
      <c r="N128" s="318"/>
      <c r="O128" s="319"/>
      <c r="P128" s="320"/>
      <c r="Q128" s="321"/>
    </row>
    <row r="129" spans="1:17" x14ac:dyDescent="0.2">
      <c r="A129" s="266"/>
      <c r="B129" s="294"/>
      <c r="C129" s="295"/>
      <c r="D129" s="310" t="s">
        <v>142</v>
      </c>
      <c r="E129" s="322">
        <v>0.13873284</v>
      </c>
      <c r="F129" s="311" t="s">
        <v>135</v>
      </c>
      <c r="G129" s="285"/>
      <c r="H129" s="285"/>
      <c r="I129" s="285"/>
      <c r="J129" s="285"/>
      <c r="K129" s="285"/>
      <c r="L129" s="285"/>
      <c r="M129" s="285"/>
      <c r="N129" s="285"/>
      <c r="O129" s="285"/>
      <c r="P129" s="285"/>
      <c r="Q129" s="285"/>
    </row>
    <row r="130" spans="1:17" ht="16.5" customHeight="1" x14ac:dyDescent="0.2">
      <c r="A130" s="323"/>
      <c r="B130" s="1329" t="s">
        <v>143</v>
      </c>
      <c r="C130" s="1329"/>
      <c r="D130" s="1329"/>
      <c r="E130" s="324">
        <f>E128+(3*E129)</f>
        <v>6.7161985199999998</v>
      </c>
      <c r="F130" s="311"/>
      <c r="G130" s="285"/>
      <c r="H130" s="285"/>
      <c r="I130" s="325" t="s">
        <v>144</v>
      </c>
      <c r="K130" s="323"/>
      <c r="L130" s="323"/>
      <c r="N130" s="285"/>
      <c r="O130" s="285"/>
      <c r="P130" s="285"/>
      <c r="Q130" s="285"/>
    </row>
    <row r="131" spans="1:17" x14ac:dyDescent="0.2">
      <c r="A131" s="323"/>
      <c r="B131" s="300"/>
      <c r="C131" s="301"/>
      <c r="D131" s="326" t="s">
        <v>145</v>
      </c>
      <c r="E131" s="327" t="s">
        <v>44</v>
      </c>
      <c r="F131" s="328"/>
      <c r="G131" s="285"/>
      <c r="H131" s="285"/>
      <c r="I131" s="329"/>
      <c r="J131" s="330"/>
      <c r="K131" s="331" t="s">
        <v>146</v>
      </c>
      <c r="L131" s="332">
        <f>L135*2</f>
        <v>4</v>
      </c>
      <c r="M131" s="333" t="s">
        <v>147</v>
      </c>
      <c r="N131" s="334"/>
      <c r="O131" s="335"/>
      <c r="P131" s="335"/>
      <c r="Q131" s="335"/>
    </row>
    <row r="132" spans="1:17" x14ac:dyDescent="0.2">
      <c r="A132" s="323"/>
      <c r="B132" s="323"/>
      <c r="C132" s="323"/>
      <c r="D132" s="323"/>
      <c r="E132" s="323"/>
      <c r="F132" s="323"/>
      <c r="G132" s="285"/>
      <c r="H132" s="323"/>
      <c r="I132" s="336" t="s">
        <v>148</v>
      </c>
      <c r="J132" s="337">
        <v>2.5</v>
      </c>
      <c r="K132" s="337">
        <v>3</v>
      </c>
      <c r="L132" s="338">
        <v>1.5</v>
      </c>
      <c r="M132" s="339" t="s">
        <v>149</v>
      </c>
      <c r="N132" s="334"/>
      <c r="O132" s="335"/>
      <c r="P132" s="335"/>
      <c r="Q132" s="335"/>
    </row>
    <row r="133" spans="1:17" x14ac:dyDescent="0.2">
      <c r="A133" s="323"/>
      <c r="B133" s="340" t="s">
        <v>150</v>
      </c>
      <c r="C133" s="341"/>
      <c r="D133" s="323"/>
      <c r="E133" s="323"/>
      <c r="F133" s="323"/>
      <c r="G133" s="285"/>
      <c r="H133" s="323"/>
      <c r="I133" s="342"/>
      <c r="J133" s="343"/>
      <c r="K133" s="343"/>
      <c r="L133" s="343"/>
      <c r="M133" s="285"/>
      <c r="N133" s="285"/>
      <c r="O133" s="285"/>
      <c r="P133" s="285"/>
      <c r="Q133" s="285"/>
    </row>
    <row r="134" spans="1:17" x14ac:dyDescent="0.2">
      <c r="A134" s="323"/>
      <c r="B134" s="287"/>
      <c r="C134" s="288"/>
      <c r="D134" s="307" t="s">
        <v>151</v>
      </c>
      <c r="E134" s="344">
        <v>0.25</v>
      </c>
      <c r="F134" s="345"/>
      <c r="G134" s="346"/>
      <c r="H134" s="323"/>
      <c r="I134" s="340" t="s">
        <v>152</v>
      </c>
      <c r="K134" s="323"/>
      <c r="L134" s="323"/>
      <c r="M134" s="323"/>
      <c r="N134" s="285"/>
      <c r="O134" s="285"/>
      <c r="P134" s="285"/>
      <c r="Q134" s="285"/>
    </row>
    <row r="135" spans="1:17" x14ac:dyDescent="0.2">
      <c r="A135" s="323"/>
      <c r="B135" s="294"/>
      <c r="C135" s="295"/>
      <c r="D135" s="310" t="s">
        <v>153</v>
      </c>
      <c r="E135" s="347">
        <f>E128-(3*E136)</f>
        <v>6</v>
      </c>
      <c r="F135" s="348" t="s">
        <v>135</v>
      </c>
      <c r="G135" s="349"/>
      <c r="H135" s="323"/>
      <c r="I135" s="329"/>
      <c r="J135" s="330"/>
      <c r="K135" s="331" t="s">
        <v>146</v>
      </c>
      <c r="L135" s="332">
        <v>2</v>
      </c>
      <c r="M135" s="333" t="s">
        <v>147</v>
      </c>
      <c r="N135" s="350"/>
      <c r="O135" s="285"/>
      <c r="P135" s="285"/>
      <c r="Q135" s="285"/>
    </row>
    <row r="136" spans="1:17" x14ac:dyDescent="0.2">
      <c r="A136" s="323"/>
      <c r="B136" s="294"/>
      <c r="C136" s="295"/>
      <c r="D136" s="310" t="s">
        <v>154</v>
      </c>
      <c r="E136" s="297">
        <v>0.1</v>
      </c>
      <c r="F136" s="351" t="s">
        <v>135</v>
      </c>
      <c r="G136" s="349"/>
      <c r="H136" s="352"/>
      <c r="I136" s="336" t="s">
        <v>148</v>
      </c>
      <c r="J136" s="337">
        <v>10</v>
      </c>
      <c r="K136" s="337">
        <v>6</v>
      </c>
      <c r="L136" s="338">
        <v>0.5</v>
      </c>
      <c r="M136" s="339" t="s">
        <v>155</v>
      </c>
      <c r="N136" s="285"/>
      <c r="O136" s="285"/>
      <c r="P136" s="323"/>
      <c r="Q136" s="323"/>
    </row>
    <row r="137" spans="1:17" x14ac:dyDescent="0.2">
      <c r="A137" s="323"/>
      <c r="B137" s="300"/>
      <c r="C137" s="301"/>
      <c r="D137" s="326" t="s">
        <v>156</v>
      </c>
      <c r="E137" s="303">
        <v>1</v>
      </c>
      <c r="F137" s="353" t="s">
        <v>157</v>
      </c>
      <c r="G137" s="354"/>
      <c r="H137" s="323"/>
      <c r="I137" s="355"/>
      <c r="J137" s="356"/>
      <c r="K137" s="356"/>
      <c r="L137" s="357"/>
      <c r="M137" s="358"/>
      <c r="N137" s="285"/>
      <c r="O137" s="285"/>
      <c r="P137" s="323"/>
      <c r="Q137" s="323"/>
    </row>
    <row r="138" spans="1:17" x14ac:dyDescent="0.2">
      <c r="A138" s="323"/>
      <c r="B138" s="323"/>
      <c r="C138" s="323"/>
      <c r="D138" s="323"/>
      <c r="E138" s="323"/>
      <c r="F138" s="323"/>
      <c r="G138" s="359"/>
      <c r="H138" s="323"/>
      <c r="I138" s="323"/>
      <c r="J138" s="323"/>
      <c r="K138" s="285"/>
      <c r="L138" s="285"/>
      <c r="M138" s="285"/>
      <c r="N138" s="285"/>
      <c r="O138" s="285"/>
      <c r="P138" s="285"/>
      <c r="Q138" s="285"/>
    </row>
    <row r="139" spans="1:17" x14ac:dyDescent="0.2">
      <c r="A139" s="323"/>
      <c r="B139" s="340" t="s">
        <v>158</v>
      </c>
      <c r="C139" s="323"/>
      <c r="D139" s="323"/>
      <c r="E139" s="323"/>
      <c r="F139" s="323"/>
      <c r="G139" s="360"/>
      <c r="H139" s="323"/>
      <c r="I139" s="323"/>
      <c r="J139" s="323"/>
      <c r="K139" s="285"/>
      <c r="L139" s="285"/>
      <c r="M139" s="285"/>
      <c r="N139" s="285"/>
      <c r="O139" s="285"/>
      <c r="P139" s="1324">
        <f>'[1]Informações de entrada'!C27</f>
        <v>44433</v>
      </c>
      <c r="Q139" s="1324"/>
    </row>
    <row r="140" spans="1:17" x14ac:dyDescent="0.2">
      <c r="A140" s="323"/>
      <c r="B140" s="329"/>
      <c r="C140" s="330"/>
      <c r="D140" s="331" t="s">
        <v>159</v>
      </c>
      <c r="E140" s="332">
        <v>200</v>
      </c>
      <c r="F140" s="333" t="s">
        <v>160</v>
      </c>
      <c r="G140" s="359"/>
      <c r="H140" s="323"/>
      <c r="I140" s="323"/>
      <c r="J140" s="323"/>
      <c r="K140" s="285"/>
      <c r="L140" s="285"/>
      <c r="M140" s="285"/>
      <c r="N140" s="285"/>
      <c r="O140" s="285"/>
      <c r="P140" s="285"/>
      <c r="Q140" s="285"/>
    </row>
    <row r="141" spans="1:17" x14ac:dyDescent="0.2">
      <c r="A141" s="323"/>
      <c r="B141" s="323"/>
      <c r="C141" s="323"/>
      <c r="D141" s="323"/>
      <c r="E141" s="323"/>
      <c r="F141" s="323"/>
      <c r="G141" s="361"/>
      <c r="I141" s="323"/>
      <c r="J141" s="323"/>
      <c r="K141" s="285"/>
      <c r="L141" s="285"/>
      <c r="M141" s="285"/>
      <c r="N141" s="285"/>
      <c r="O141" s="285"/>
      <c r="P141" s="285"/>
      <c r="Q141" s="285"/>
    </row>
    <row r="142" spans="1:17" x14ac:dyDescent="0.2">
      <c r="A142" s="323"/>
      <c r="B142" s="323"/>
      <c r="C142" s="323"/>
      <c r="D142" s="323"/>
      <c r="E142" s="323"/>
      <c r="F142" s="323"/>
      <c r="G142" s="323"/>
      <c r="H142" s="285"/>
      <c r="J142" s="343"/>
      <c r="K142" s="285"/>
      <c r="L142" s="362"/>
      <c r="M142" s="691"/>
      <c r="N142" s="285"/>
      <c r="O142" s="285"/>
      <c r="P142" s="285"/>
      <c r="Q142" s="285"/>
    </row>
    <row r="143" spans="1:17" x14ac:dyDescent="0.2">
      <c r="A143" s="323"/>
      <c r="B143" s="323"/>
      <c r="C143" s="323"/>
      <c r="D143" s="323"/>
      <c r="E143" s="323"/>
      <c r="F143" s="323"/>
      <c r="G143" s="323"/>
      <c r="H143" s="285"/>
      <c r="I143" s="342"/>
      <c r="J143" s="343"/>
      <c r="K143" s="362"/>
      <c r="L143" s="362"/>
      <c r="M143" s="363"/>
      <c r="N143" s="285"/>
      <c r="O143" s="285"/>
      <c r="P143" s="285"/>
      <c r="Q143" s="285"/>
    </row>
    <row r="144" spans="1:17" x14ac:dyDescent="0.2">
      <c r="B144" s="323"/>
      <c r="C144" s="323"/>
      <c r="D144" s="323"/>
      <c r="E144" s="323"/>
      <c r="F144" s="323"/>
      <c r="G144" s="323"/>
      <c r="H144" s="285"/>
      <c r="I144" s="323"/>
      <c r="J144" s="323"/>
      <c r="K144" s="285"/>
      <c r="L144" s="285"/>
      <c r="M144" s="285"/>
      <c r="N144" s="285"/>
      <c r="O144" s="285"/>
      <c r="P144" s="285"/>
      <c r="Q144" s="285"/>
    </row>
    <row r="145" spans="8:17" x14ac:dyDescent="0.2">
      <c r="H145" s="285"/>
      <c r="I145" s="285"/>
      <c r="J145" s="285"/>
      <c r="K145" s="285"/>
      <c r="L145" s="285"/>
      <c r="M145" s="285"/>
      <c r="N145" s="285"/>
      <c r="O145" s="285"/>
      <c r="P145" s="285"/>
      <c r="Q145" s="285"/>
    </row>
  </sheetData>
  <mergeCells count="27">
    <mergeCell ref="A26:Q26"/>
    <mergeCell ref="A27:B27"/>
    <mergeCell ref="C27:G27"/>
    <mergeCell ref="H27:I27"/>
    <mergeCell ref="J27:N27"/>
    <mergeCell ref="D29:L30"/>
    <mergeCell ref="M29:M30"/>
    <mergeCell ref="N29:N30"/>
    <mergeCell ref="A31:A34"/>
    <mergeCell ref="E31:F33"/>
    <mergeCell ref="G31:G34"/>
    <mergeCell ref="H31:J33"/>
    <mergeCell ref="K31:Q31"/>
    <mergeCell ref="B32:D32"/>
    <mergeCell ref="K32:M32"/>
    <mergeCell ref="N32:O32"/>
    <mergeCell ref="P32:P34"/>
    <mergeCell ref="Q32:Q34"/>
    <mergeCell ref="B33:D33"/>
    <mergeCell ref="K33:K34"/>
    <mergeCell ref="L33:L34"/>
    <mergeCell ref="P139:Q139"/>
    <mergeCell ref="M33:M34"/>
    <mergeCell ref="N33:O33"/>
    <mergeCell ref="A114:G115"/>
    <mergeCell ref="A116:G117"/>
    <mergeCell ref="B130:D130"/>
  </mergeCells>
  <dataValidations count="18">
    <dataValidation type="list" allowBlank="1" showInputMessage="1" showErrorMessage="1" errorTitle="Erro." error="Opção inválida!" promptTitle="OAC / OAE:" prompt="Selecione o tipo de obra de arte" sqref="H36 H37:J46 H47:H106" xr:uid="{00000000-0002-0000-0100-000000000000}">
      <formula1>$H$2:$H$23</formula1>
      <formula2>0</formula2>
    </dataValidation>
    <dataValidation type="list" allowBlank="1" showInputMessage="1" showErrorMessage="1" errorTitle="Erro" error="O valor digitado não é válido" promptTitle="Terraplenagem" prompt="Selecione a DMT e a categoria do material escavado" sqref="M36:M106" xr:uid="{00000000-0002-0000-0100-000001000000}">
      <formula1>$A$2:$A$13</formula1>
      <formula2>0</formula2>
    </dataValidation>
    <dataValidation type="list" allowBlank="1" showInputMessage="1" showErrorMessage="1" prompt="Seção cheia - para regiões predominantemente planas;  Seção triangular - para regiões de relevo predominantemente acidentado" sqref="N32:O32" xr:uid="{00000000-0002-0000-0100-000002000000}">
      <formula1>$O$2:$O$3</formula1>
      <formula2>0</formula2>
    </dataValidation>
    <dataValidation type="decimal" allowBlank="1" showInputMessage="1" showErrorMessage="1" prompt="Desmatamento, destocamento e limpeza em áreas com árvores d &gt; 0,15 m (no máximo 6,00 m para cada lado, considerando como já abertos, no mínimo, l = 3,00 m)" sqref="E124" xr:uid="{00000000-0002-0000-0100-000003000000}">
      <formula1>0</formula1>
      <formula2>12</formula2>
    </dataValidation>
    <dataValidation type="decimal" allowBlank="1" showInputMessage="1" showErrorMessage="1" prompt="Volume máximo igual a 1,00 m³ / m" sqref="E127" xr:uid="{00000000-0002-0000-0100-000004000000}">
      <formula1>0.6</formula1>
      <formula2>1</formula2>
    </dataValidation>
    <dataValidation type="decimal" allowBlank="1" showInputMessage="1" showErrorMessage="1" prompt="Seção trapezoidal com altura máxima igual a 0,13873284 m" sqref="E129" xr:uid="{00000000-0002-0000-0100-000005000000}">
      <formula1>0</formula1>
      <formula2>0.13873284</formula2>
    </dataValidation>
    <dataValidation allowBlank="1" showInputMessage="1" showErrorMessage="1" prompt="Igual à largura da plataforma final da terraplenagem, menos três vezes a altura máxima do revestimento." sqref="E135" xr:uid="{00000000-0002-0000-0100-000006000000}">
      <formula1>0</formula1>
      <formula2>0</formula2>
    </dataValidation>
    <dataValidation type="decimal" allowBlank="1" showInputMessage="1" showErrorMessage="1" prompt="Comprimento mínimo de 20 % do trecho a ser revestido" sqref="E137" xr:uid="{00000000-0002-0000-0100-000007000000}">
      <formula1>0.2</formula1>
      <formula2>1</formula2>
    </dataValidation>
    <dataValidation allowBlank="1" showInputMessage="1" showErrorMessage="1" prompt="Em aclives / declives adotar espaçamento mínimo de 50,00 m e em trechos planos mínimo de 100,00 m. Adotar comprimento do bigode = 5,00 m." sqref="E140" xr:uid="{00000000-0002-0000-0100-000008000000}">
      <formula1>0</formula1>
      <formula2>0</formula2>
    </dataValidation>
    <dataValidation type="decimal" operator="greaterThanOrEqual" allowBlank="1" showInputMessage="1" showErrorMessage="1" prompt="Espessura minima de 0,10 m, compactado." sqref="E136" xr:uid="{00000000-0002-0000-0100-000009000000}">
      <formula1>0.1</formula1>
      <formula2>0</formula2>
    </dataValidation>
    <dataValidation type="decimal" allowBlank="1" showInputMessage="1" showErrorMessage="1" prompt="Largura variando entre 4,00 a 7,00 m, mantendo o abaulamento transversal entre 3,00 a 7,00 %._x000a_" sqref="E128" xr:uid="{00000000-0002-0000-0100-00000A000000}">
      <formula1>4</formula1>
      <formula2>7</formula2>
    </dataValidation>
    <dataValidation type="decimal" allowBlank="1" showInputMessage="1" showErrorMessage="1" prompt="Desmatamento, destocamento e limpeza em áreas com árvores d ≤ 0,15 m (no máximo 6,00 m para cada lado, considerando como já abertos, no mínimo, l = 3,00 m)" sqref="E122:E123" xr:uid="{00000000-0002-0000-0100-00000B000000}">
      <formula1>0</formula1>
      <formula2>12</formula2>
    </dataValidation>
    <dataValidation type="list" allowBlank="1" showInputMessage="1" showErrorMessage="1" errorTitle="Erro." error="Opção inválida!" promptTitle="OAC / OAE:" prompt="Selecione o tipo de obra de arte" sqref="H35" xr:uid="{00000000-0002-0000-0100-00000C000000}">
      <formula1>$H$2:$H$24</formula1>
      <formula2>0</formula2>
    </dataValidation>
    <dataValidation type="list" allowBlank="1" showInputMessage="1" showErrorMessage="1" errorTitle="Erro" error="O valor digitado não é válido" promptTitle="Terraplenagem" prompt="Selecione a DMT e a categoria do material escavado" sqref="M35" xr:uid="{00000000-0002-0000-0100-00000D000000}">
      <formula1>$A$2:$A$19</formula1>
      <formula2>0</formula2>
    </dataValidation>
    <dataValidation type="list" allowBlank="1" showErrorMessage="1" sqref="E131" xr:uid="{00000000-0002-0000-0100-00000E000000}">
      <formula1>$F$1:$F$4</formula1>
      <formula2>0</formula2>
    </dataValidation>
    <dataValidation type="list" allowBlank="1" showInputMessage="1" showErrorMessage="1" prompt="Informar o Datum utilizado como origem para as coordenadas" sqref="B32:D32" xr:uid="{00000000-0002-0000-0100-00000F000000}">
      <formula1>$K$2:$K$4</formula1>
      <formula2>0</formula2>
    </dataValidation>
    <dataValidation allowBlank="1" showInputMessage="1" showErrorMessage="1" prompt="As lombadas serão executadas com dimensões médias de 10,00 m de comprimento e 6,00 m de largura, com 0,50 m de altura após compactação. O espaçamento será variável e conforme os trechos (média de 3,00 lombadas / km)." sqref="L135" xr:uid="{00000000-0002-0000-0100-000010000000}">
      <formula1>0</formula1>
      <formula2>0</formula2>
    </dataValidation>
    <dataValidation allowBlank="1" showInputMessage="1" showErrorMessage="1" prompt="Serão executadas nas dimensões médias de (3,50 x 2,50 x 1,50) m, com remoção média de 13,125 m3 de solo. A distância entre elas será de acordo com o trecho e sua profundidade deve ser abaixo do nível da estrada (média de 6,00 caixas / km)." sqref="L131" xr:uid="{00000000-0002-0000-0100-000011000000}">
      <formula1>0</formula1>
      <formula2>0</formula2>
    </dataValidation>
  </dataValidations>
  <pageMargins left="0.51180555555555496" right="0.51180555555555496" top="0.78749999999999998" bottom="0.78749999999999998" header="0.51180555555555496" footer="0.51180555555555496"/>
  <pageSetup paperSize="9" scale="60" firstPageNumber="0" orientation="landscape"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71"/>
  <sheetViews>
    <sheetView topLeftCell="A52" zoomScale="83" zoomScaleNormal="83" workbookViewId="0">
      <selection activeCell="P139" sqref="P139"/>
    </sheetView>
  </sheetViews>
  <sheetFormatPr defaultRowHeight="15" x14ac:dyDescent="0.2"/>
  <cols>
    <col min="1" max="2" width="7.6640625" style="902" customWidth="1"/>
    <col min="3" max="3" width="2.15234375" style="902" customWidth="1"/>
    <col min="4" max="4" width="3.765625" style="902" customWidth="1"/>
    <col min="5" max="5" width="23.67578125" style="902" customWidth="1"/>
    <col min="6" max="6" width="12.64453125" style="902" customWidth="1"/>
    <col min="7" max="7" width="8.7421875" style="902" customWidth="1"/>
    <col min="8" max="8" width="9.28125" style="902" customWidth="1"/>
    <col min="9" max="11" width="8.7421875" style="902" customWidth="1"/>
    <col min="12" max="12" width="10.76171875" style="902" customWidth="1"/>
    <col min="13" max="1025" width="8.7421875" customWidth="1"/>
  </cols>
  <sheetData>
    <row r="1" spans="1:12" x14ac:dyDescent="0.2">
      <c r="A1" s="1474"/>
      <c r="B1" s="1474"/>
      <c r="C1" s="1474"/>
      <c r="D1" s="1474"/>
      <c r="E1" s="1474"/>
      <c r="F1" s="1474"/>
      <c r="G1" s="1474"/>
      <c r="H1" s="1474"/>
      <c r="I1" s="1474"/>
      <c r="J1" s="1474"/>
      <c r="K1" s="1474"/>
      <c r="L1" s="1474"/>
    </row>
    <row r="2" spans="1:12" x14ac:dyDescent="0.2">
      <c r="A2" s="1475" t="s">
        <v>629</v>
      </c>
      <c r="B2" s="1475"/>
      <c r="C2" s="1475"/>
      <c r="D2" s="1475"/>
      <c r="E2" s="1475"/>
      <c r="F2" s="1475"/>
      <c r="G2" s="1475"/>
      <c r="H2" s="1475"/>
      <c r="I2" s="1475"/>
      <c r="J2" s="1475"/>
      <c r="K2" s="1475"/>
      <c r="L2" s="1475"/>
    </row>
    <row r="3" spans="1:12" x14ac:dyDescent="0.2">
      <c r="A3" s="1474"/>
      <c r="B3" s="1474"/>
      <c r="C3" s="1474"/>
      <c r="D3" s="1474"/>
      <c r="E3" s="1474"/>
      <c r="F3" s="1474"/>
      <c r="G3" s="1474"/>
      <c r="H3" s="1474"/>
      <c r="I3" s="1474"/>
      <c r="J3" s="1474"/>
      <c r="K3" s="1474"/>
      <c r="L3" s="1474"/>
    </row>
    <row r="4" spans="1:12" x14ac:dyDescent="0.2">
      <c r="A4" s="1476"/>
      <c r="B4" s="1476"/>
      <c r="C4" s="1476"/>
      <c r="D4" s="1476"/>
      <c r="E4" s="1476"/>
      <c r="F4" s="1476"/>
      <c r="G4" s="1476"/>
      <c r="H4" s="1476"/>
      <c r="I4" s="1476"/>
      <c r="J4" s="1476"/>
      <c r="K4" s="1476"/>
      <c r="L4" s="1476"/>
    </row>
    <row r="5" spans="1:12" x14ac:dyDescent="0.2">
      <c r="A5" s="1477"/>
      <c r="B5" s="1477"/>
      <c r="C5" s="1477"/>
      <c r="D5" s="1477"/>
      <c r="E5" s="1477"/>
      <c r="F5" s="1477"/>
      <c r="G5" s="1477"/>
      <c r="H5" s="1477"/>
      <c r="I5" s="1477"/>
      <c r="J5" s="1477"/>
      <c r="K5" s="1477"/>
      <c r="L5" s="903" t="s">
        <v>419</v>
      </c>
    </row>
    <row r="6" spans="1:12" x14ac:dyDescent="0.2">
      <c r="A6" s="1469"/>
      <c r="B6" s="1469"/>
      <c r="C6" s="1469"/>
      <c r="D6" s="1469"/>
      <c r="E6" s="1469"/>
      <c r="F6" s="1469"/>
      <c r="G6" s="1469"/>
      <c r="H6" s="1469"/>
      <c r="I6" s="1469"/>
      <c r="J6" s="1469"/>
      <c r="K6" s="1469"/>
      <c r="L6" s="1075"/>
    </row>
    <row r="7" spans="1:12" ht="13.9" customHeight="1" x14ac:dyDescent="0.2">
      <c r="A7" s="1469"/>
      <c r="B7" s="1469"/>
      <c r="C7" s="1469"/>
      <c r="D7" s="1469"/>
      <c r="E7" s="1469"/>
      <c r="F7" s="1469"/>
      <c r="G7" s="1469"/>
      <c r="H7" s="1469"/>
      <c r="I7" s="1469"/>
      <c r="J7" s="1469"/>
      <c r="K7" s="1469"/>
      <c r="L7" s="1470" t="s">
        <v>192</v>
      </c>
    </row>
    <row r="8" spans="1:12" x14ac:dyDescent="0.2">
      <c r="A8" s="904"/>
      <c r="B8" s="905"/>
      <c r="C8" s="906"/>
      <c r="D8" s="907"/>
      <c r="E8" s="908"/>
      <c r="F8" s="906"/>
      <c r="G8" s="906"/>
      <c r="H8" s="906"/>
      <c r="I8" s="906"/>
      <c r="J8" s="906"/>
      <c r="K8" s="909"/>
      <c r="L8" s="1470"/>
    </row>
    <row r="9" spans="1:12" x14ac:dyDescent="0.2">
      <c r="A9" s="910"/>
      <c r="B9" s="910"/>
      <c r="C9" s="911"/>
      <c r="D9" s="912"/>
      <c r="E9" s="912"/>
      <c r="F9" s="913"/>
      <c r="G9" s="913"/>
      <c r="H9" s="913"/>
      <c r="I9" s="913"/>
      <c r="J9" s="913"/>
      <c r="K9" s="913"/>
      <c r="L9" s="914"/>
    </row>
    <row r="10" spans="1:12" x14ac:dyDescent="0.2">
      <c r="A10" s="1471"/>
      <c r="B10" s="1471"/>
      <c r="C10" s="1471"/>
      <c r="D10" s="1471"/>
      <c r="E10" s="1471"/>
      <c r="F10" s="1471"/>
      <c r="G10" s="1471"/>
      <c r="H10" s="1471"/>
      <c r="I10" s="1471"/>
      <c r="J10" s="1471"/>
      <c r="K10" s="1471"/>
      <c r="L10" s="1471"/>
    </row>
    <row r="11" spans="1:12" x14ac:dyDescent="0.2">
      <c r="A11" s="915"/>
      <c r="B11" s="912"/>
      <c r="C11" s="911"/>
      <c r="D11" s="912"/>
      <c r="E11" s="911"/>
      <c r="F11" s="911"/>
      <c r="G11" s="911"/>
      <c r="H11" s="911"/>
      <c r="I11" s="911"/>
      <c r="J11" s="911"/>
      <c r="K11" s="911"/>
      <c r="L11" s="916"/>
    </row>
    <row r="12" spans="1:12" x14ac:dyDescent="0.2">
      <c r="A12" s="1472" t="s">
        <v>421</v>
      </c>
      <c r="B12" s="1472"/>
      <c r="C12" s="1472"/>
      <c r="D12" s="1472"/>
      <c r="E12" s="917" t="s">
        <v>648</v>
      </c>
      <c r="F12" s="918"/>
      <c r="G12" s="918"/>
      <c r="H12" s="918"/>
      <c r="I12" s="918"/>
      <c r="J12" s="918"/>
      <c r="K12" s="918"/>
      <c r="L12" s="919"/>
    </row>
    <row r="13" spans="1:12" x14ac:dyDescent="0.2">
      <c r="A13" s="920"/>
      <c r="B13" s="907"/>
      <c r="C13" s="921"/>
      <c r="D13" s="907"/>
      <c r="E13" s="907"/>
      <c r="F13" s="906"/>
      <c r="G13" s="906"/>
      <c r="H13" s="906"/>
      <c r="I13" s="906"/>
      <c r="J13" s="906"/>
      <c r="K13" s="906"/>
      <c r="L13" s="922"/>
    </row>
    <row r="14" spans="1:12" x14ac:dyDescent="0.2">
      <c r="A14" s="913"/>
      <c r="B14" s="913"/>
      <c r="C14" s="913"/>
      <c r="D14" s="913"/>
      <c r="E14" s="913"/>
      <c r="F14" s="913"/>
      <c r="G14" s="913"/>
      <c r="H14" s="913"/>
      <c r="I14" s="913"/>
      <c r="J14" s="913"/>
      <c r="K14" s="913"/>
      <c r="L14" s="914"/>
    </row>
    <row r="15" spans="1:12" x14ac:dyDescent="0.2">
      <c r="A15" s="1473" t="s">
        <v>422</v>
      </c>
      <c r="B15" s="1473"/>
      <c r="C15" s="1473"/>
      <c r="D15" s="1473"/>
      <c r="E15" s="1473"/>
      <c r="F15" s="1473"/>
      <c r="G15" s="1473"/>
      <c r="H15" s="1473"/>
      <c r="I15" s="1473"/>
      <c r="J15" s="1473"/>
      <c r="K15" s="1473"/>
      <c r="L15" s="1473"/>
    </row>
    <row r="16" spans="1:12" x14ac:dyDescent="0.2">
      <c r="A16" s="1473"/>
      <c r="B16" s="1473"/>
      <c r="C16" s="1473"/>
      <c r="D16" s="1473"/>
      <c r="E16" s="1473"/>
      <c r="F16" s="1473"/>
      <c r="G16" s="1473"/>
      <c r="H16" s="1473"/>
      <c r="I16" s="1473"/>
      <c r="J16" s="1473"/>
      <c r="K16" s="1473"/>
      <c r="L16" s="1473"/>
    </row>
    <row r="17" spans="1:12" x14ac:dyDescent="0.2">
      <c r="A17" s="923"/>
      <c r="B17" s="923"/>
      <c r="C17" s="923"/>
      <c r="D17" s="923"/>
      <c r="E17" s="923"/>
      <c r="F17" s="923"/>
      <c r="G17" s="923"/>
      <c r="H17" s="923"/>
      <c r="I17" s="923"/>
      <c r="J17" s="923"/>
      <c r="K17" s="923"/>
      <c r="L17" s="923"/>
    </row>
    <row r="18" spans="1:12" ht="17.25" customHeight="1" x14ac:dyDescent="0.2">
      <c r="A18" s="924" t="s">
        <v>423</v>
      </c>
      <c r="B18" s="925"/>
      <c r="C18" s="925"/>
      <c r="D18" s="926" t="s">
        <v>192</v>
      </c>
      <c r="E18" s="1466" t="s">
        <v>592</v>
      </c>
      <c r="F18" s="1466"/>
      <c r="G18" s="1466"/>
      <c r="H18" s="1466"/>
      <c r="I18" s="1466"/>
      <c r="J18" s="1466"/>
      <c r="K18" s="928" t="s">
        <v>425</v>
      </c>
      <c r="L18" s="929" t="s">
        <v>135</v>
      </c>
    </row>
    <row r="19" spans="1:12" x14ac:dyDescent="0.2">
      <c r="A19" s="910"/>
      <c r="B19" s="910"/>
      <c r="C19" s="910"/>
      <c r="D19" s="910"/>
      <c r="E19" s="910"/>
      <c r="F19" s="910"/>
      <c r="G19" s="910"/>
      <c r="H19" s="910"/>
      <c r="I19" s="910"/>
      <c r="J19" s="910"/>
      <c r="K19" s="910"/>
      <c r="L19" s="910"/>
    </row>
    <row r="20" spans="1:12" x14ac:dyDescent="0.2">
      <c r="A20" s="1462" t="s">
        <v>434</v>
      </c>
      <c r="B20" s="1462"/>
      <c r="C20" s="1462"/>
      <c r="D20" s="1462"/>
      <c r="E20" s="1462"/>
      <c r="F20" s="1462"/>
      <c r="G20" s="1460" t="s">
        <v>166</v>
      </c>
      <c r="H20" s="1460" t="s">
        <v>362</v>
      </c>
      <c r="I20" s="1460"/>
      <c r="J20" s="1500" t="s">
        <v>483</v>
      </c>
      <c r="K20" s="1500"/>
      <c r="L20" s="1076" t="s">
        <v>484</v>
      </c>
    </row>
    <row r="21" spans="1:12" x14ac:dyDescent="0.2">
      <c r="A21" s="1462"/>
      <c r="B21" s="1462"/>
      <c r="C21" s="1462"/>
      <c r="D21" s="1462"/>
      <c r="E21" s="1462"/>
      <c r="F21" s="1462"/>
      <c r="G21" s="1460"/>
      <c r="H21" s="943" t="s">
        <v>485</v>
      </c>
      <c r="I21" s="1077" t="s">
        <v>486</v>
      </c>
      <c r="J21" s="943" t="s">
        <v>485</v>
      </c>
      <c r="K21" s="1077" t="s">
        <v>486</v>
      </c>
      <c r="L21" s="1026" t="s">
        <v>487</v>
      </c>
    </row>
    <row r="22" spans="1:12" x14ac:dyDescent="0.2">
      <c r="A22" s="1043" t="s">
        <v>379</v>
      </c>
      <c r="B22" s="1130" t="s">
        <v>657</v>
      </c>
      <c r="C22" s="979" t="s">
        <v>442</v>
      </c>
      <c r="D22" s="1527" t="s">
        <v>658</v>
      </c>
      <c r="E22" s="1527"/>
      <c r="F22" s="1527"/>
      <c r="G22" s="1112">
        <v>1</v>
      </c>
      <c r="H22" s="1112">
        <v>4.3103000000000004E-3</v>
      </c>
      <c r="I22" s="961">
        <v>0</v>
      </c>
      <c r="J22" s="986">
        <v>184.2696</v>
      </c>
      <c r="K22" s="986">
        <v>79.578100000000006</v>
      </c>
      <c r="L22" s="986">
        <f>(G22*H22*J22)+(G22*I22*K22)</f>
        <v>0.79425725688000004</v>
      </c>
    </row>
    <row r="23" spans="1:12" x14ac:dyDescent="0.2">
      <c r="A23" s="1153"/>
      <c r="B23" s="942"/>
      <c r="C23" s="979"/>
      <c r="D23" s="942"/>
      <c r="E23" s="942"/>
      <c r="F23" s="942"/>
      <c r="G23" s="1112"/>
      <c r="H23" s="1112"/>
      <c r="I23" s="961"/>
      <c r="J23" s="986"/>
      <c r="K23" s="963"/>
      <c r="L23" s="986">
        <f>(G23*H23*J23)+(G23*I23*K23)</f>
        <v>0</v>
      </c>
    </row>
    <row r="24" spans="1:12" x14ac:dyDescent="0.2">
      <c r="A24" s="1153"/>
      <c r="B24" s="942"/>
      <c r="C24" s="979"/>
      <c r="D24" s="942"/>
      <c r="E24" s="942"/>
      <c r="F24" s="942"/>
      <c r="G24" s="1112"/>
      <c r="H24" s="1112"/>
      <c r="I24" s="961"/>
      <c r="J24" s="986"/>
      <c r="K24" s="963"/>
      <c r="L24" s="986">
        <f>(G24*H24*J24)+(G24*I24*K24)</f>
        <v>0</v>
      </c>
    </row>
    <row r="25" spans="1:12" x14ac:dyDescent="0.2">
      <c r="A25" s="1153"/>
      <c r="B25" s="942"/>
      <c r="C25" s="979"/>
      <c r="D25" s="942"/>
      <c r="E25" s="942"/>
      <c r="F25" s="942"/>
      <c r="G25" s="1112"/>
      <c r="H25" s="1112"/>
      <c r="I25" s="961"/>
      <c r="J25" s="986"/>
      <c r="K25" s="963"/>
      <c r="L25" s="986">
        <f>(G25*H25*J25)+(G25*I25*K25)</f>
        <v>0</v>
      </c>
    </row>
    <row r="26" spans="1:12" x14ac:dyDescent="0.2">
      <c r="A26" s="1153"/>
      <c r="B26" s="942"/>
      <c r="C26" s="979"/>
      <c r="D26" s="942"/>
      <c r="E26" s="942"/>
      <c r="F26" s="942"/>
      <c r="G26" s="1112"/>
      <c r="H26" s="1112"/>
      <c r="I26" s="961"/>
      <c r="J26" s="986"/>
      <c r="K26" s="963"/>
      <c r="L26" s="986"/>
    </row>
    <row r="27" spans="1:12" x14ac:dyDescent="0.2">
      <c r="A27" s="1153"/>
      <c r="B27" s="942"/>
      <c r="C27" s="979"/>
      <c r="D27" s="942"/>
      <c r="E27" s="942"/>
      <c r="F27" s="942"/>
      <c r="G27" s="1096"/>
      <c r="H27" s="1112"/>
      <c r="I27" s="961"/>
      <c r="J27" s="1098"/>
      <c r="K27" s="963"/>
      <c r="L27" s="986"/>
    </row>
    <row r="28" spans="1:12" x14ac:dyDescent="0.2">
      <c r="A28" s="1497" t="s">
        <v>488</v>
      </c>
      <c r="B28" s="1497"/>
      <c r="C28" s="1497"/>
      <c r="D28" s="1497"/>
      <c r="E28" s="1497"/>
      <c r="F28" s="1497"/>
      <c r="G28" s="1497"/>
      <c r="H28" s="1497"/>
      <c r="I28" s="1497"/>
      <c r="J28" s="1497"/>
      <c r="K28" s="1497"/>
      <c r="L28" s="968">
        <f>ROUND(SUM(L22:L27),4)</f>
        <v>0.79430000000000001</v>
      </c>
    </row>
    <row r="29" spans="1:12" x14ac:dyDescent="0.2">
      <c r="A29" s="930"/>
      <c r="B29" s="930"/>
      <c r="C29" s="930"/>
      <c r="D29" s="930"/>
      <c r="E29" s="930"/>
      <c r="F29" s="930"/>
      <c r="G29" s="930"/>
      <c r="H29" s="1023"/>
      <c r="I29" s="1023"/>
      <c r="J29" s="1023"/>
      <c r="K29" s="1023"/>
      <c r="L29" s="1023"/>
    </row>
    <row r="30" spans="1:12" ht="13.9" customHeight="1" x14ac:dyDescent="0.2">
      <c r="A30" s="1462" t="s">
        <v>447</v>
      </c>
      <c r="B30" s="1462"/>
      <c r="C30" s="1462"/>
      <c r="D30" s="1462"/>
      <c r="E30" s="1462"/>
      <c r="F30" s="1462"/>
      <c r="G30" s="1462"/>
      <c r="H30" s="1462"/>
      <c r="I30" s="1462"/>
      <c r="J30" s="1460" t="s">
        <v>166</v>
      </c>
      <c r="K30" s="1452" t="s">
        <v>489</v>
      </c>
      <c r="L30" s="1076" t="s">
        <v>449</v>
      </c>
    </row>
    <row r="31" spans="1:12" x14ac:dyDescent="0.2">
      <c r="A31" s="1462"/>
      <c r="B31" s="1462"/>
      <c r="C31" s="1462"/>
      <c r="D31" s="1462"/>
      <c r="E31" s="1462"/>
      <c r="F31" s="1462"/>
      <c r="G31" s="1462"/>
      <c r="H31" s="1462"/>
      <c r="I31" s="1462"/>
      <c r="J31" s="1460"/>
      <c r="K31" s="1452"/>
      <c r="L31" s="1026" t="s">
        <v>487</v>
      </c>
    </row>
    <row r="32" spans="1:12" x14ac:dyDescent="0.2">
      <c r="A32" s="1043"/>
      <c r="B32" s="1130"/>
      <c r="C32" s="979"/>
      <c r="D32" s="1525"/>
      <c r="E32" s="1525"/>
      <c r="F32" s="1525"/>
      <c r="G32" s="1525"/>
      <c r="H32" s="1525"/>
      <c r="I32" s="1525"/>
      <c r="J32" s="1080"/>
      <c r="K32" s="1044"/>
      <c r="L32" s="964">
        <f>J32*K32</f>
        <v>0</v>
      </c>
    </row>
    <row r="33" spans="1:12" x14ac:dyDescent="0.2">
      <c r="A33" s="1043"/>
      <c r="B33" s="1130"/>
      <c r="C33" s="979"/>
      <c r="D33" s="942"/>
      <c r="E33" s="942"/>
      <c r="F33" s="942"/>
      <c r="G33" s="942"/>
      <c r="H33" s="942"/>
      <c r="I33" s="1144"/>
      <c r="J33" s="1080"/>
      <c r="K33" s="1044"/>
      <c r="L33" s="964"/>
    </row>
    <row r="34" spans="1:12" x14ac:dyDescent="0.2">
      <c r="A34" s="1153"/>
      <c r="B34" s="942"/>
      <c r="C34" s="979"/>
      <c r="D34" s="942"/>
      <c r="E34" s="942"/>
      <c r="F34" s="942"/>
      <c r="G34" s="910"/>
      <c r="H34" s="979"/>
      <c r="I34" s="1092"/>
      <c r="J34" s="1080"/>
      <c r="K34" s="1044"/>
      <c r="L34" s="964">
        <f>J34*K34</f>
        <v>0</v>
      </c>
    </row>
    <row r="35" spans="1:12" x14ac:dyDescent="0.2">
      <c r="A35" s="1153"/>
      <c r="B35" s="942"/>
      <c r="C35" s="979"/>
      <c r="D35" s="942"/>
      <c r="E35" s="942"/>
      <c r="F35" s="942"/>
      <c r="G35" s="910"/>
      <c r="H35" s="979"/>
      <c r="I35" s="1092"/>
      <c r="J35" s="1080"/>
      <c r="K35" s="1044"/>
      <c r="L35" s="964">
        <f>J35*K35</f>
        <v>0</v>
      </c>
    </row>
    <row r="36" spans="1:12" x14ac:dyDescent="0.2">
      <c r="A36" s="1082"/>
      <c r="B36" s="1083"/>
      <c r="C36" s="1083"/>
      <c r="D36" s="1083"/>
      <c r="E36" s="1083"/>
      <c r="F36" s="1083"/>
      <c r="G36" s="905"/>
      <c r="H36" s="1077"/>
      <c r="I36" s="1095"/>
      <c r="J36" s="1085"/>
      <c r="K36" s="1044"/>
      <c r="L36" s="964">
        <f>J36*K36</f>
        <v>0</v>
      </c>
    </row>
    <row r="37" spans="1:12" x14ac:dyDescent="0.2">
      <c r="A37" s="1102"/>
      <c r="B37" s="930"/>
      <c r="C37" s="930"/>
      <c r="D37" s="930"/>
      <c r="E37" s="930"/>
      <c r="F37" s="930"/>
      <c r="G37" s="930"/>
      <c r="H37" s="930"/>
      <c r="I37" s="930"/>
      <c r="J37" s="1023"/>
      <c r="K37" s="1105" t="s">
        <v>490</v>
      </c>
      <c r="L37" s="968">
        <f>ROUND(SUM(L32:L36),4)</f>
        <v>0</v>
      </c>
    </row>
    <row r="38" spans="1:12" x14ac:dyDescent="0.2">
      <c r="A38" s="930"/>
      <c r="B38" s="930"/>
      <c r="C38" s="930"/>
      <c r="D38" s="930"/>
      <c r="E38" s="930"/>
      <c r="F38" s="930"/>
      <c r="G38" s="930"/>
      <c r="H38" s="930"/>
      <c r="I38" s="930"/>
      <c r="J38" s="1023"/>
      <c r="K38" s="1023"/>
      <c r="L38" s="1023"/>
    </row>
    <row r="39" spans="1:12" x14ac:dyDescent="0.2">
      <c r="A39" s="930"/>
      <c r="B39" s="930"/>
      <c r="C39" s="930"/>
      <c r="D39" s="930"/>
      <c r="E39" s="930"/>
      <c r="F39" s="930"/>
      <c r="G39" s="930"/>
      <c r="H39" s="930"/>
      <c r="I39" s="930"/>
      <c r="J39" s="1023"/>
      <c r="K39" s="1100" t="s">
        <v>491</v>
      </c>
      <c r="L39" s="1260">
        <f>L28+L37</f>
        <v>0.79430000000000001</v>
      </c>
    </row>
    <row r="40" spans="1:12" x14ac:dyDescent="0.2">
      <c r="A40" s="1102" t="s">
        <v>492</v>
      </c>
      <c r="B40" s="930"/>
      <c r="C40" s="930"/>
      <c r="D40" s="930"/>
      <c r="E40" s="930"/>
      <c r="F40" s="1103">
        <v>1</v>
      </c>
      <c r="G40" s="1257" t="str">
        <f>L18</f>
        <v>m</v>
      </c>
      <c r="H40" s="1102"/>
      <c r="I40" s="930"/>
      <c r="J40" s="1105"/>
      <c r="K40" s="1106" t="s">
        <v>493</v>
      </c>
      <c r="L40" s="1035">
        <f>ROUND(L39/F40,4)</f>
        <v>0.79430000000000001</v>
      </c>
    </row>
    <row r="41" spans="1:12" x14ac:dyDescent="0.2">
      <c r="A41" s="1102"/>
      <c r="B41" s="930" t="s">
        <v>494</v>
      </c>
      <c r="C41" s="930"/>
      <c r="D41" s="930"/>
      <c r="E41" s="930"/>
      <c r="F41" s="1103">
        <v>4.8980000000000003E-2</v>
      </c>
      <c r="G41" s="1104"/>
      <c r="H41" s="1102"/>
      <c r="I41" s="930"/>
      <c r="J41" s="1105"/>
      <c r="K41" s="1100" t="s">
        <v>495</v>
      </c>
      <c r="L41" s="1035">
        <f>ROUND(L40*F41,4)</f>
        <v>3.8899999999999997E-2</v>
      </c>
    </row>
    <row r="42" spans="1:12" x14ac:dyDescent="0.2">
      <c r="A42" s="1102"/>
      <c r="B42" s="930" t="s">
        <v>496</v>
      </c>
      <c r="C42" s="930"/>
      <c r="D42" s="930"/>
      <c r="E42" s="930"/>
      <c r="F42" s="1202"/>
      <c r="G42" s="1104"/>
      <c r="H42" s="1105"/>
      <c r="I42" s="1107"/>
      <c r="J42" s="1023"/>
      <c r="K42" s="1100" t="s">
        <v>497</v>
      </c>
      <c r="L42" s="968">
        <f>L40*F42</f>
        <v>0</v>
      </c>
    </row>
    <row r="43" spans="1:12" x14ac:dyDescent="0.2">
      <c r="A43" s="930"/>
      <c r="B43" s="930"/>
      <c r="C43" s="930"/>
      <c r="D43" s="930"/>
      <c r="E43" s="930"/>
      <c r="F43" s="930"/>
      <c r="G43" s="930"/>
      <c r="H43" s="930"/>
      <c r="I43" s="930"/>
      <c r="J43" s="1023"/>
      <c r="K43" s="1023"/>
      <c r="L43" s="1261"/>
    </row>
    <row r="44" spans="1:12" x14ac:dyDescent="0.2">
      <c r="A44" s="1462" t="s">
        <v>498</v>
      </c>
      <c r="B44" s="1462"/>
      <c r="C44" s="1462"/>
      <c r="D44" s="1462"/>
      <c r="E44" s="1462"/>
      <c r="F44" s="1462"/>
      <c r="G44" s="1462"/>
      <c r="H44" s="1462"/>
      <c r="I44" s="1456" t="s">
        <v>499</v>
      </c>
      <c r="J44" s="1456"/>
      <c r="K44" s="1456"/>
      <c r="L44" s="1208">
        <f>ROUND(SUM(L40:L43),4)</f>
        <v>0.83320000000000005</v>
      </c>
    </row>
    <row r="45" spans="1:12" x14ac:dyDescent="0.2">
      <c r="A45" s="910"/>
      <c r="B45" s="910"/>
      <c r="C45" s="910"/>
      <c r="D45" s="910"/>
      <c r="E45" s="910"/>
      <c r="F45" s="910"/>
      <c r="G45" s="1109"/>
      <c r="H45" s="1109"/>
      <c r="I45" s="933"/>
      <c r="J45" s="933"/>
      <c r="K45" s="933"/>
      <c r="L45" s="910"/>
    </row>
    <row r="46" spans="1:12" x14ac:dyDescent="0.2">
      <c r="A46" s="1462" t="s">
        <v>500</v>
      </c>
      <c r="B46" s="1462"/>
      <c r="C46" s="1462"/>
      <c r="D46" s="1462"/>
      <c r="E46" s="1462"/>
      <c r="F46" s="1462"/>
      <c r="G46" s="1462"/>
      <c r="H46" s="1460" t="s">
        <v>166</v>
      </c>
      <c r="I46" s="1460"/>
      <c r="J46" s="1460" t="s">
        <v>165</v>
      </c>
      <c r="K46" s="1076" t="s">
        <v>501</v>
      </c>
      <c r="L46" s="1076" t="s">
        <v>484</v>
      </c>
    </row>
    <row r="47" spans="1:12" x14ac:dyDescent="0.2">
      <c r="A47" s="1462"/>
      <c r="B47" s="1462"/>
      <c r="C47" s="1462"/>
      <c r="D47" s="1462"/>
      <c r="E47" s="1462"/>
      <c r="F47" s="1462"/>
      <c r="G47" s="1462"/>
      <c r="H47" s="1460"/>
      <c r="I47" s="1460"/>
      <c r="J47" s="1460"/>
      <c r="K47" s="1110" t="s">
        <v>451</v>
      </c>
      <c r="L47" s="1026" t="s">
        <v>451</v>
      </c>
    </row>
    <row r="48" spans="1:12" x14ac:dyDescent="0.2">
      <c r="A48" s="1244"/>
      <c r="B48" s="942"/>
      <c r="C48" s="979"/>
      <c r="D48" s="942"/>
      <c r="E48" s="942"/>
      <c r="F48" s="942"/>
      <c r="G48" s="937"/>
      <c r="H48" s="1521"/>
      <c r="I48" s="1521"/>
      <c r="J48" s="1113"/>
      <c r="K48" s="1044"/>
      <c r="L48" s="1164">
        <f>H48*K48</f>
        <v>0</v>
      </c>
    </row>
    <row r="49" spans="1:12" x14ac:dyDescent="0.2">
      <c r="A49" s="1114"/>
      <c r="B49" s="979"/>
      <c r="C49" s="979"/>
      <c r="D49" s="942"/>
      <c r="E49" s="942"/>
      <c r="F49" s="942"/>
      <c r="G49" s="937"/>
      <c r="H49" s="1495"/>
      <c r="I49" s="1495"/>
      <c r="J49" s="1113"/>
      <c r="K49" s="1044"/>
      <c r="L49" s="986">
        <f>H49*K49</f>
        <v>0</v>
      </c>
    </row>
    <row r="50" spans="1:12" x14ac:dyDescent="0.2">
      <c r="A50" s="1114"/>
      <c r="B50" s="979"/>
      <c r="C50" s="979"/>
      <c r="D50" s="942"/>
      <c r="E50" s="942"/>
      <c r="F50" s="942"/>
      <c r="G50" s="937"/>
      <c r="H50" s="1495"/>
      <c r="I50" s="1495"/>
      <c r="J50" s="1113"/>
      <c r="K50" s="1044"/>
      <c r="L50" s="986">
        <f>H50*K50</f>
        <v>0</v>
      </c>
    </row>
    <row r="51" spans="1:12" x14ac:dyDescent="0.2">
      <c r="A51" s="1114"/>
      <c r="B51" s="979"/>
      <c r="C51" s="979">
        <f>-C49</f>
        <v>0</v>
      </c>
      <c r="D51" s="942"/>
      <c r="E51" s="942"/>
      <c r="F51" s="942"/>
      <c r="G51" s="937"/>
      <c r="H51" s="1495"/>
      <c r="I51" s="1495"/>
      <c r="J51" s="1113"/>
      <c r="K51" s="1044"/>
      <c r="L51" s="986">
        <f>H51*K51</f>
        <v>0</v>
      </c>
    </row>
    <row r="52" spans="1:12" x14ac:dyDescent="0.2">
      <c r="A52" s="1114"/>
      <c r="B52" s="979"/>
      <c r="C52" s="979"/>
      <c r="D52" s="1083"/>
      <c r="E52" s="1083"/>
      <c r="F52" s="1083"/>
      <c r="G52" s="1115"/>
      <c r="H52" s="1512"/>
      <c r="I52" s="1512"/>
      <c r="J52" s="1113"/>
      <c r="K52" s="1044"/>
      <c r="L52" s="1098">
        <f>H52*K52</f>
        <v>0</v>
      </c>
    </row>
    <row r="53" spans="1:12" x14ac:dyDescent="0.2">
      <c r="A53" s="1454" t="s">
        <v>502</v>
      </c>
      <c r="B53" s="1454"/>
      <c r="C53" s="1454"/>
      <c r="D53" s="1454"/>
      <c r="E53" s="1454"/>
      <c r="F53" s="1454"/>
      <c r="G53" s="1454"/>
      <c r="H53" s="1454"/>
      <c r="I53" s="1454"/>
      <c r="J53" s="1454"/>
      <c r="K53" s="1454"/>
      <c r="L53" s="1208">
        <f>ROUND(SUM(L48:L52),4)</f>
        <v>0</v>
      </c>
    </row>
    <row r="54" spans="1:12" x14ac:dyDescent="0.2">
      <c r="A54" s="932"/>
      <c r="B54" s="932"/>
      <c r="C54" s="932"/>
      <c r="D54" s="932"/>
      <c r="E54" s="932"/>
      <c r="F54" s="932"/>
      <c r="G54" s="932"/>
      <c r="H54" s="932"/>
      <c r="I54" s="932"/>
      <c r="J54" s="910"/>
      <c r="K54" s="1117"/>
      <c r="L54" s="1118"/>
    </row>
    <row r="55" spans="1:12" ht="13.9" customHeight="1" x14ac:dyDescent="0.2">
      <c r="A55" s="1462" t="s">
        <v>503</v>
      </c>
      <c r="B55" s="1462"/>
      <c r="C55" s="1462"/>
      <c r="D55" s="1462"/>
      <c r="E55" s="1462"/>
      <c r="F55" s="1462"/>
      <c r="G55" s="1452" t="s">
        <v>504</v>
      </c>
      <c r="H55" s="1460" t="s">
        <v>505</v>
      </c>
      <c r="I55" s="1460"/>
      <c r="J55" s="1460"/>
      <c r="K55" s="1460"/>
      <c r="L55" s="1460" t="s">
        <v>506</v>
      </c>
    </row>
    <row r="56" spans="1:12" x14ac:dyDescent="0.2">
      <c r="A56" s="1462"/>
      <c r="B56" s="1462"/>
      <c r="C56" s="1462"/>
      <c r="D56" s="1462"/>
      <c r="E56" s="1462"/>
      <c r="F56" s="1462"/>
      <c r="G56" s="1452"/>
      <c r="H56" s="944" t="s">
        <v>112</v>
      </c>
      <c r="I56" s="1095" t="s">
        <v>380</v>
      </c>
      <c r="J56" s="1026" t="s">
        <v>383</v>
      </c>
      <c r="K56" s="1110" t="s">
        <v>385</v>
      </c>
      <c r="L56" s="1460"/>
    </row>
    <row r="57" spans="1:12" x14ac:dyDescent="0.2">
      <c r="A57" s="1462"/>
      <c r="B57" s="1462"/>
      <c r="C57" s="1462"/>
      <c r="D57" s="1462"/>
      <c r="E57" s="1462"/>
      <c r="F57" s="1462"/>
      <c r="G57" s="1452"/>
      <c r="H57" s="943" t="s">
        <v>507</v>
      </c>
      <c r="I57" s="1119"/>
      <c r="J57" s="1119"/>
      <c r="K57" s="1119"/>
      <c r="L57" s="1460"/>
    </row>
    <row r="58" spans="1:12" x14ac:dyDescent="0.2">
      <c r="A58" s="1488"/>
      <c r="B58" s="1489"/>
      <c r="C58" s="1490"/>
      <c r="D58" s="1502"/>
      <c r="E58" s="1502"/>
      <c r="F58" s="1503"/>
      <c r="G58" s="1493">
        <f>ROUND(H48/1000,5)</f>
        <v>0</v>
      </c>
      <c r="H58" s="1120" t="s">
        <v>508</v>
      </c>
      <c r="I58" s="1121"/>
      <c r="J58" s="1121"/>
      <c r="K58" s="1121"/>
      <c r="L58" s="1494">
        <f>G58*($I$57*I59+$J$57*J59+$K$57*K59)</f>
        <v>0</v>
      </c>
    </row>
    <row r="59" spans="1:12" x14ac:dyDescent="0.2">
      <c r="A59" s="1488"/>
      <c r="B59" s="1489"/>
      <c r="C59" s="1490"/>
      <c r="D59" s="1502"/>
      <c r="E59" s="1502"/>
      <c r="F59" s="1503"/>
      <c r="G59" s="1493"/>
      <c r="H59" s="1122" t="s">
        <v>509</v>
      </c>
      <c r="I59" s="1123"/>
      <c r="J59" s="1123"/>
      <c r="K59" s="1123"/>
      <c r="L59" s="1494"/>
    </row>
    <row r="60" spans="1:12" x14ac:dyDescent="0.2">
      <c r="A60" s="1043"/>
      <c r="B60" s="958"/>
      <c r="C60" s="979"/>
      <c r="D60" s="1151"/>
      <c r="E60" s="1151"/>
      <c r="F60" s="1141"/>
      <c r="G60" s="1112"/>
      <c r="H60" s="1235"/>
      <c r="I60" s="1236"/>
      <c r="J60" s="961"/>
      <c r="K60" s="1116"/>
      <c r="L60" s="986"/>
    </row>
    <row r="61" spans="1:12" x14ac:dyDescent="0.2">
      <c r="A61" s="1114"/>
      <c r="B61" s="979"/>
      <c r="C61" s="979"/>
      <c r="D61" s="1083"/>
      <c r="E61" s="1083"/>
      <c r="F61" s="1083"/>
      <c r="G61" s="1135"/>
      <c r="H61" s="1247"/>
      <c r="I61" s="1247"/>
      <c r="J61" s="1137"/>
      <c r="K61" s="1044"/>
      <c r="L61" s="1138">
        <f>G61*H61*K61</f>
        <v>0</v>
      </c>
    </row>
    <row r="62" spans="1:12" x14ac:dyDescent="0.2">
      <c r="A62" s="1454" t="s">
        <v>510</v>
      </c>
      <c r="B62" s="1454"/>
      <c r="C62" s="1454"/>
      <c r="D62" s="1454"/>
      <c r="E62" s="1454"/>
      <c r="F62" s="1454"/>
      <c r="G62" s="1454"/>
      <c r="H62" s="1454"/>
      <c r="I62" s="1454"/>
      <c r="J62" s="1454"/>
      <c r="K62" s="1454"/>
      <c r="L62" s="1056">
        <f>ROUND(SUM(L58:L61),4)</f>
        <v>0</v>
      </c>
    </row>
    <row r="63" spans="1:12" x14ac:dyDescent="0.2">
      <c r="A63" s="1049"/>
      <c r="B63" s="1049"/>
      <c r="C63" s="1049"/>
      <c r="D63" s="1049"/>
      <c r="E63" s="1049"/>
      <c r="F63" s="1049"/>
      <c r="G63" s="932"/>
      <c r="H63" s="1050"/>
      <c r="I63" s="1050"/>
      <c r="J63" s="1051"/>
      <c r="K63" s="1052"/>
      <c r="L63" s="1053"/>
    </row>
    <row r="64" spans="1:12" x14ac:dyDescent="0.2">
      <c r="A64" s="1454" t="s">
        <v>460</v>
      </c>
      <c r="B64" s="1454"/>
      <c r="C64" s="1454"/>
      <c r="D64" s="1454"/>
      <c r="E64" s="1454"/>
      <c r="F64" s="1454"/>
      <c r="G64" s="1454"/>
      <c r="H64" s="1454"/>
      <c r="I64" s="1454"/>
      <c r="J64" s="1454"/>
      <c r="K64" s="1454"/>
      <c r="L64" s="1056">
        <f>ROUND(L44+L53+L62,4)</f>
        <v>0.83320000000000005</v>
      </c>
    </row>
    <row r="65" spans="1:12" x14ac:dyDescent="0.2">
      <c r="A65" s="1455" t="s">
        <v>461</v>
      </c>
      <c r="B65" s="1455"/>
      <c r="C65" s="1455"/>
      <c r="D65" s="1455"/>
      <c r="E65" s="1455"/>
      <c r="F65" s="1455"/>
      <c r="G65" s="1455"/>
      <c r="H65" s="1455"/>
      <c r="I65" s="1455"/>
      <c r="J65" s="1455"/>
      <c r="K65" s="1055">
        <v>0.25569999999999998</v>
      </c>
      <c r="L65" s="1056">
        <f>ROUND(L64*K65,4)</f>
        <v>0.21299999999999999</v>
      </c>
    </row>
    <row r="66" spans="1:12" x14ac:dyDescent="0.2">
      <c r="A66" s="1456" t="s">
        <v>462</v>
      </c>
      <c r="B66" s="1456"/>
      <c r="C66" s="1456"/>
      <c r="D66" s="1456"/>
      <c r="E66" s="1456"/>
      <c r="F66" s="1456"/>
      <c r="G66" s="1456"/>
      <c r="H66" s="1456"/>
      <c r="I66" s="1456"/>
      <c r="J66" s="1456"/>
      <c r="K66" s="1456"/>
      <c r="L66" s="1126">
        <f>ROUND(L64+L65,2)</f>
        <v>1.05</v>
      </c>
    </row>
    <row r="67" spans="1:12" x14ac:dyDescent="0.2">
      <c r="A67" s="1058"/>
      <c r="B67" s="1058"/>
      <c r="C67" s="1058"/>
      <c r="D67" s="1058"/>
      <c r="E67" s="1058"/>
      <c r="F67" s="1058"/>
      <c r="G67" s="1058"/>
      <c r="H67" s="1058"/>
      <c r="I67" s="1058"/>
      <c r="J67" s="1058"/>
      <c r="K67" s="1058"/>
      <c r="L67" s="1058"/>
    </row>
    <row r="68" spans="1:12" ht="19.5" customHeight="1" x14ac:dyDescent="0.2">
      <c r="A68" s="1059" t="s">
        <v>463</v>
      </c>
      <c r="B68" s="1060"/>
      <c r="C68" s="1518" t="s">
        <v>593</v>
      </c>
      <c r="D68" s="1518"/>
      <c r="E68" s="1518"/>
      <c r="F68" s="1518"/>
      <c r="G68" s="1518"/>
      <c r="H68" s="1518"/>
      <c r="I68" s="1518"/>
      <c r="J68" s="1518"/>
      <c r="K68" s="1518"/>
      <c r="L68" s="1518"/>
    </row>
    <row r="69" spans="1:12" ht="13.9" customHeight="1" x14ac:dyDescent="0.2">
      <c r="A69" s="1210"/>
      <c r="B69" s="1184"/>
      <c r="C69" s="1528" t="s">
        <v>575</v>
      </c>
      <c r="D69" s="1528"/>
      <c r="E69" s="1528"/>
      <c r="F69" s="1528"/>
      <c r="G69" s="1528"/>
      <c r="H69" s="1528"/>
      <c r="I69" s="1528"/>
      <c r="J69" s="1528"/>
      <c r="K69" s="1528"/>
      <c r="L69" s="1528"/>
    </row>
    <row r="70" spans="1:12" x14ac:dyDescent="0.2">
      <c r="A70" s="1210"/>
      <c r="B70" s="1184"/>
      <c r="C70" s="1184"/>
      <c r="D70" s="1184"/>
      <c r="E70" s="1184"/>
      <c r="F70" s="1184"/>
      <c r="G70" s="1184"/>
      <c r="H70" s="1184"/>
      <c r="I70" s="1184"/>
      <c r="J70" s="1184"/>
      <c r="K70" s="1184"/>
      <c r="L70" s="1253"/>
    </row>
    <row r="71" spans="1:12" x14ac:dyDescent="0.2">
      <c r="A71" s="1071"/>
      <c r="B71" s="1129"/>
      <c r="C71" s="1129"/>
      <c r="D71" s="1129"/>
      <c r="E71" s="1129"/>
      <c r="F71" s="1129"/>
      <c r="G71" s="1129"/>
      <c r="H71" s="1129"/>
      <c r="I71" s="1129"/>
      <c r="J71" s="1129"/>
      <c r="K71" s="1129"/>
      <c r="L71" s="1254"/>
    </row>
  </sheetData>
  <mergeCells count="50">
    <mergeCell ref="A1:L1"/>
    <mergeCell ref="A2:L2"/>
    <mergeCell ref="A3:L3"/>
    <mergeCell ref="A4:L4"/>
    <mergeCell ref="A5:K5"/>
    <mergeCell ref="A6:K6"/>
    <mergeCell ref="A7:K7"/>
    <mergeCell ref="L7:L8"/>
    <mergeCell ref="A10:L10"/>
    <mergeCell ref="A12:D12"/>
    <mergeCell ref="A15:L16"/>
    <mergeCell ref="E18:J18"/>
    <mergeCell ref="A20:F21"/>
    <mergeCell ref="G20:G21"/>
    <mergeCell ref="H20:I20"/>
    <mergeCell ref="J20:K20"/>
    <mergeCell ref="D22:F22"/>
    <mergeCell ref="A28:K28"/>
    <mergeCell ref="A30:I31"/>
    <mergeCell ref="J30:J31"/>
    <mergeCell ref="K30:K31"/>
    <mergeCell ref="D32:I32"/>
    <mergeCell ref="A44:H44"/>
    <mergeCell ref="I44:K44"/>
    <mergeCell ref="A46:G47"/>
    <mergeCell ref="H46:I47"/>
    <mergeCell ref="J46:J47"/>
    <mergeCell ref="H48:I48"/>
    <mergeCell ref="H49:I49"/>
    <mergeCell ref="H50:I50"/>
    <mergeCell ref="H51:I51"/>
    <mergeCell ref="H52:I52"/>
    <mergeCell ref="A53:K53"/>
    <mergeCell ref="A55:F57"/>
    <mergeCell ref="G55:G57"/>
    <mergeCell ref="H55:K55"/>
    <mergeCell ref="L55:L57"/>
    <mergeCell ref="A66:K66"/>
    <mergeCell ref="C68:L68"/>
    <mergeCell ref="C69:L69"/>
    <mergeCell ref="G58:G59"/>
    <mergeCell ref="L58:L59"/>
    <mergeCell ref="A62:K62"/>
    <mergeCell ref="A64:K64"/>
    <mergeCell ref="A65:J65"/>
    <mergeCell ref="A58:A59"/>
    <mergeCell ref="B58:B59"/>
    <mergeCell ref="C58:C59"/>
    <mergeCell ref="D58:E59"/>
    <mergeCell ref="F58:F59"/>
  </mergeCells>
  <dataValidations count="1">
    <dataValidation allowBlank="1" showInputMessage="1" showErrorMessage="1" prompt="Clique duas vezes sobre o número do item para ser direcionado à Planilha Orçamentária." sqref="D18" xr:uid="{00000000-0002-0000-1300-000000000000}">
      <formula1>0</formula1>
      <formula2>0</formula2>
    </dataValidation>
  </dataValidations>
  <printOptions horizontalCentered="1" verticalCentered="1"/>
  <pageMargins left="0.51180555555555496" right="0.51180555555555496" top="0.78749999999999998" bottom="0.78749999999999998" header="0.51180555555555496" footer="0.51180555555555496"/>
  <pageSetup paperSize="9" scale="70" firstPageNumber="0"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71"/>
  <sheetViews>
    <sheetView topLeftCell="A49" zoomScale="83" zoomScaleNormal="83" workbookViewId="0">
      <selection activeCell="P139" sqref="P139"/>
    </sheetView>
  </sheetViews>
  <sheetFormatPr defaultRowHeight="15" x14ac:dyDescent="0.2"/>
  <cols>
    <col min="1" max="2" width="7.6640625" style="902" customWidth="1"/>
    <col min="3" max="3" width="1.4765625" style="902" customWidth="1"/>
    <col min="4" max="4" width="3.765625" style="902" customWidth="1"/>
    <col min="5" max="5" width="23.67578125" style="902" customWidth="1"/>
    <col min="6" max="6" width="12.64453125" style="902" customWidth="1"/>
    <col min="7" max="7" width="8.7421875" style="902" customWidth="1"/>
    <col min="8" max="8" width="9.01171875" style="902" customWidth="1"/>
    <col min="9" max="11" width="8.7421875" style="902" customWidth="1"/>
    <col min="12" max="12" width="10.76171875" style="902" customWidth="1"/>
    <col min="13" max="1025" width="8.7421875" customWidth="1"/>
  </cols>
  <sheetData>
    <row r="1" spans="1:12" x14ac:dyDescent="0.2">
      <c r="A1" s="1474"/>
      <c r="B1" s="1474"/>
      <c r="C1" s="1474"/>
      <c r="D1" s="1474"/>
      <c r="E1" s="1474"/>
      <c r="F1" s="1474"/>
      <c r="G1" s="1474"/>
      <c r="H1" s="1474"/>
      <c r="I1" s="1474"/>
      <c r="J1" s="1474"/>
      <c r="K1" s="1474"/>
      <c r="L1" s="1474"/>
    </row>
    <row r="2" spans="1:12" x14ac:dyDescent="0.2">
      <c r="A2" s="1475" t="s">
        <v>629</v>
      </c>
      <c r="B2" s="1475"/>
      <c r="C2" s="1475"/>
      <c r="D2" s="1475"/>
      <c r="E2" s="1475"/>
      <c r="F2" s="1475"/>
      <c r="G2" s="1475"/>
      <c r="H2" s="1475"/>
      <c r="I2" s="1475"/>
      <c r="J2" s="1475"/>
      <c r="K2" s="1475"/>
      <c r="L2" s="1475"/>
    </row>
    <row r="3" spans="1:12" x14ac:dyDescent="0.2">
      <c r="A3" s="1474"/>
      <c r="B3" s="1474"/>
      <c r="C3" s="1474"/>
      <c r="D3" s="1474"/>
      <c r="E3" s="1474"/>
      <c r="F3" s="1474"/>
      <c r="G3" s="1474"/>
      <c r="H3" s="1474"/>
      <c r="I3" s="1474"/>
      <c r="J3" s="1474"/>
      <c r="K3" s="1474"/>
      <c r="L3" s="1474"/>
    </row>
    <row r="4" spans="1:12" x14ac:dyDescent="0.2">
      <c r="A4" s="1476"/>
      <c r="B4" s="1476"/>
      <c r="C4" s="1476"/>
      <c r="D4" s="1476"/>
      <c r="E4" s="1476"/>
      <c r="F4" s="1476"/>
      <c r="G4" s="1476"/>
      <c r="H4" s="1476"/>
      <c r="I4" s="1476"/>
      <c r="J4" s="1476"/>
      <c r="K4" s="1476"/>
      <c r="L4" s="1476"/>
    </row>
    <row r="5" spans="1:12" x14ac:dyDescent="0.2">
      <c r="A5" s="1477"/>
      <c r="B5" s="1477"/>
      <c r="C5" s="1477"/>
      <c r="D5" s="1477"/>
      <c r="E5" s="1477"/>
      <c r="F5" s="1477"/>
      <c r="G5" s="1477"/>
      <c r="H5" s="1477"/>
      <c r="I5" s="1477"/>
      <c r="J5" s="1477"/>
      <c r="K5" s="1477"/>
      <c r="L5" s="903" t="s">
        <v>419</v>
      </c>
    </row>
    <row r="6" spans="1:12" x14ac:dyDescent="0.2">
      <c r="A6" s="1469"/>
      <c r="B6" s="1469"/>
      <c r="C6" s="1469"/>
      <c r="D6" s="1469"/>
      <c r="E6" s="1469"/>
      <c r="F6" s="1469"/>
      <c r="G6" s="1469"/>
      <c r="H6" s="1469"/>
      <c r="I6" s="1469"/>
      <c r="J6" s="1469"/>
      <c r="K6" s="1469"/>
      <c r="L6" s="1075"/>
    </row>
    <row r="7" spans="1:12" ht="13.9" customHeight="1" x14ac:dyDescent="0.2">
      <c r="A7" s="1469"/>
      <c r="B7" s="1469"/>
      <c r="C7" s="1469"/>
      <c r="D7" s="1469"/>
      <c r="E7" s="1469"/>
      <c r="F7" s="1469"/>
      <c r="G7" s="1469"/>
      <c r="H7" s="1469"/>
      <c r="I7" s="1469"/>
      <c r="J7" s="1469"/>
      <c r="K7" s="1469"/>
      <c r="L7" s="1470" t="s">
        <v>193</v>
      </c>
    </row>
    <row r="8" spans="1:12" x14ac:dyDescent="0.2">
      <c r="A8" s="904"/>
      <c r="B8" s="905"/>
      <c r="C8" s="906"/>
      <c r="D8" s="907"/>
      <c r="E8" s="908"/>
      <c r="F8" s="906"/>
      <c r="G8" s="906"/>
      <c r="H8" s="906"/>
      <c r="I8" s="906"/>
      <c r="J8" s="906"/>
      <c r="K8" s="909"/>
      <c r="L8" s="1470"/>
    </row>
    <row r="9" spans="1:12" x14ac:dyDescent="0.2">
      <c r="A9" s="910"/>
      <c r="B9" s="910"/>
      <c r="C9" s="911"/>
      <c r="D9" s="912"/>
      <c r="E9" s="912"/>
      <c r="F9" s="913"/>
      <c r="G9" s="913"/>
      <c r="H9" s="913"/>
      <c r="I9" s="913"/>
      <c r="J9" s="913"/>
      <c r="K9" s="913"/>
      <c r="L9" s="914"/>
    </row>
    <row r="10" spans="1:12" x14ac:dyDescent="0.2">
      <c r="A10" s="1471"/>
      <c r="B10" s="1471"/>
      <c r="C10" s="1471"/>
      <c r="D10" s="1471"/>
      <c r="E10" s="1471"/>
      <c r="F10" s="1471"/>
      <c r="G10" s="1471"/>
      <c r="H10" s="1471"/>
      <c r="I10" s="1471"/>
      <c r="J10" s="1471"/>
      <c r="K10" s="1471"/>
      <c r="L10" s="1471"/>
    </row>
    <row r="11" spans="1:12" x14ac:dyDescent="0.2">
      <c r="A11" s="915"/>
      <c r="B11" s="912"/>
      <c r="C11" s="911"/>
      <c r="D11" s="912"/>
      <c r="E11" s="911"/>
      <c r="F11" s="911"/>
      <c r="G11" s="911"/>
      <c r="H11" s="911"/>
      <c r="I11" s="911"/>
      <c r="J11" s="911"/>
      <c r="K11" s="911"/>
      <c r="L11" s="916"/>
    </row>
    <row r="12" spans="1:12" x14ac:dyDescent="0.2">
      <c r="A12" s="1472" t="s">
        <v>421</v>
      </c>
      <c r="B12" s="1472"/>
      <c r="C12" s="1472"/>
      <c r="D12" s="1472"/>
      <c r="E12" s="917" t="s">
        <v>648</v>
      </c>
      <c r="F12" s="918"/>
      <c r="G12" s="918"/>
      <c r="H12" s="918"/>
      <c r="I12" s="918"/>
      <c r="J12" s="918"/>
      <c r="K12" s="918"/>
      <c r="L12" s="919"/>
    </row>
    <row r="13" spans="1:12" x14ac:dyDescent="0.2">
      <c r="A13" s="920"/>
      <c r="B13" s="907"/>
      <c r="C13" s="921"/>
      <c r="D13" s="907"/>
      <c r="E13" s="907"/>
      <c r="F13" s="906"/>
      <c r="G13" s="906"/>
      <c r="H13" s="906"/>
      <c r="I13" s="906"/>
      <c r="J13" s="906"/>
      <c r="K13" s="906"/>
      <c r="L13" s="922"/>
    </row>
    <row r="14" spans="1:12" x14ac:dyDescent="0.2">
      <c r="A14" s="913"/>
      <c r="B14" s="913"/>
      <c r="C14" s="913"/>
      <c r="D14" s="913"/>
      <c r="E14" s="913"/>
      <c r="F14" s="913"/>
      <c r="G14" s="913"/>
      <c r="H14" s="913"/>
      <c r="I14" s="913"/>
      <c r="J14" s="913"/>
      <c r="K14" s="913"/>
      <c r="L14" s="914"/>
    </row>
    <row r="15" spans="1:12" x14ac:dyDescent="0.2">
      <c r="A15" s="1473" t="s">
        <v>422</v>
      </c>
      <c r="B15" s="1473"/>
      <c r="C15" s="1473"/>
      <c r="D15" s="1473"/>
      <c r="E15" s="1473"/>
      <c r="F15" s="1473"/>
      <c r="G15" s="1473"/>
      <c r="H15" s="1473"/>
      <c r="I15" s="1473"/>
      <c r="J15" s="1473"/>
      <c r="K15" s="1473"/>
      <c r="L15" s="1473"/>
    </row>
    <row r="16" spans="1:12" x14ac:dyDescent="0.2">
      <c r="A16" s="1473"/>
      <c r="B16" s="1473"/>
      <c r="C16" s="1473"/>
      <c r="D16" s="1473"/>
      <c r="E16" s="1473"/>
      <c r="F16" s="1473"/>
      <c r="G16" s="1473"/>
      <c r="H16" s="1473"/>
      <c r="I16" s="1473"/>
      <c r="J16" s="1473"/>
      <c r="K16" s="1473"/>
      <c r="L16" s="1473"/>
    </row>
    <row r="17" spans="1:12" x14ac:dyDescent="0.2">
      <c r="A17" s="923"/>
      <c r="B17" s="923"/>
      <c r="C17" s="923"/>
      <c r="D17" s="923"/>
      <c r="E17" s="923"/>
      <c r="F17" s="923"/>
      <c r="G17" s="923"/>
      <c r="H17" s="923"/>
      <c r="I17" s="923"/>
      <c r="J17" s="923"/>
      <c r="K17" s="923"/>
      <c r="L17" s="923"/>
    </row>
    <row r="18" spans="1:12" x14ac:dyDescent="0.2">
      <c r="A18" s="924" t="s">
        <v>423</v>
      </c>
      <c r="B18" s="925"/>
      <c r="C18" s="925"/>
      <c r="D18" s="926" t="s">
        <v>193</v>
      </c>
      <c r="E18" s="1466" t="s">
        <v>594</v>
      </c>
      <c r="F18" s="1466"/>
      <c r="G18" s="1466"/>
      <c r="H18" s="1466"/>
      <c r="I18" s="1466"/>
      <c r="J18" s="1466"/>
      <c r="K18" s="928" t="s">
        <v>425</v>
      </c>
      <c r="L18" s="929" t="s">
        <v>581</v>
      </c>
    </row>
    <row r="19" spans="1:12" x14ac:dyDescent="0.2">
      <c r="A19" s="910"/>
      <c r="B19" s="910"/>
      <c r="C19" s="910"/>
      <c r="D19" s="910"/>
      <c r="E19" s="910"/>
      <c r="F19" s="910"/>
      <c r="G19" s="910"/>
      <c r="H19" s="910"/>
      <c r="I19" s="910"/>
      <c r="J19" s="910"/>
      <c r="K19" s="910"/>
      <c r="L19" s="910"/>
    </row>
    <row r="20" spans="1:12" x14ac:dyDescent="0.2">
      <c r="A20" s="1462" t="s">
        <v>434</v>
      </c>
      <c r="B20" s="1462"/>
      <c r="C20" s="1462"/>
      <c r="D20" s="1462"/>
      <c r="E20" s="1462"/>
      <c r="F20" s="1462"/>
      <c r="G20" s="1460" t="s">
        <v>166</v>
      </c>
      <c r="H20" s="1460" t="s">
        <v>362</v>
      </c>
      <c r="I20" s="1460"/>
      <c r="J20" s="1500" t="s">
        <v>483</v>
      </c>
      <c r="K20" s="1500"/>
      <c r="L20" s="1076" t="s">
        <v>484</v>
      </c>
    </row>
    <row r="21" spans="1:12" x14ac:dyDescent="0.2">
      <c r="A21" s="1462"/>
      <c r="B21" s="1462"/>
      <c r="C21" s="1462"/>
      <c r="D21" s="1462"/>
      <c r="E21" s="1462"/>
      <c r="F21" s="1462"/>
      <c r="G21" s="1460"/>
      <c r="H21" s="943" t="s">
        <v>485</v>
      </c>
      <c r="I21" s="1077" t="s">
        <v>486</v>
      </c>
      <c r="J21" s="943" t="s">
        <v>485</v>
      </c>
      <c r="K21" s="1077" t="s">
        <v>486</v>
      </c>
      <c r="L21" s="1026" t="s">
        <v>487</v>
      </c>
    </row>
    <row r="22" spans="1:12" ht="19.5" customHeight="1" x14ac:dyDescent="0.2">
      <c r="A22" s="1043" t="s">
        <v>379</v>
      </c>
      <c r="B22" s="1130" t="s">
        <v>665</v>
      </c>
      <c r="C22" s="979" t="s">
        <v>442</v>
      </c>
      <c r="D22" s="1520" t="s">
        <v>666</v>
      </c>
      <c r="E22" s="1520"/>
      <c r="F22" s="1520"/>
      <c r="G22" s="1112">
        <v>1</v>
      </c>
      <c r="H22" s="1116">
        <v>1</v>
      </c>
      <c r="I22" s="961">
        <v>0</v>
      </c>
      <c r="J22" s="1081">
        <v>199.35740000000001</v>
      </c>
      <c r="K22" s="1081">
        <v>80.469300000000004</v>
      </c>
      <c r="L22" s="986">
        <f>(G22*H22*J22)+(G22*I22*K22)</f>
        <v>199.35740000000001</v>
      </c>
    </row>
    <row r="23" spans="1:12" x14ac:dyDescent="0.2">
      <c r="A23" s="1153"/>
      <c r="B23" s="942"/>
      <c r="C23" s="979"/>
      <c r="D23" s="942"/>
      <c r="E23" s="942"/>
      <c r="F23" s="942"/>
      <c r="G23" s="1112"/>
      <c r="H23" s="1116"/>
      <c r="I23" s="961"/>
      <c r="J23" s="1081"/>
      <c r="K23" s="1087"/>
      <c r="L23" s="986">
        <f>(G23*H23*J23)+(G23*I23*K23)</f>
        <v>0</v>
      </c>
    </row>
    <row r="24" spans="1:12" x14ac:dyDescent="0.2">
      <c r="A24" s="1153"/>
      <c r="B24" s="942"/>
      <c r="C24" s="979"/>
      <c r="D24" s="942"/>
      <c r="E24" s="942"/>
      <c r="F24" s="942"/>
      <c r="G24" s="1112"/>
      <c r="H24" s="1116"/>
      <c r="I24" s="961"/>
      <c r="J24" s="1081"/>
      <c r="K24" s="1087"/>
      <c r="L24" s="986">
        <f>(G24*H24*J24)+(G24*I24*K24)</f>
        <v>0</v>
      </c>
    </row>
    <row r="25" spans="1:12" x14ac:dyDescent="0.2">
      <c r="A25" s="1153"/>
      <c r="B25" s="942"/>
      <c r="C25" s="979"/>
      <c r="D25" s="942"/>
      <c r="E25" s="942"/>
      <c r="F25" s="942"/>
      <c r="G25" s="1112"/>
      <c r="H25" s="1116"/>
      <c r="I25" s="961"/>
      <c r="J25" s="1081"/>
      <c r="K25" s="1087"/>
      <c r="L25" s="986">
        <f>(G25*H25*J25)+(G25*I25*K25)</f>
        <v>0</v>
      </c>
    </row>
    <row r="26" spans="1:12" x14ac:dyDescent="0.2">
      <c r="A26" s="1153"/>
      <c r="B26" s="942"/>
      <c r="C26" s="979"/>
      <c r="D26" s="942"/>
      <c r="E26" s="942"/>
      <c r="F26" s="942"/>
      <c r="G26" s="1112"/>
      <c r="H26" s="1116"/>
      <c r="I26" s="961"/>
      <c r="J26" s="1081"/>
      <c r="K26" s="1087"/>
      <c r="L26" s="986"/>
    </row>
    <row r="27" spans="1:12" x14ac:dyDescent="0.2">
      <c r="A27" s="1153"/>
      <c r="B27" s="942"/>
      <c r="C27" s="979"/>
      <c r="D27" s="942"/>
      <c r="E27" s="942"/>
      <c r="F27" s="942"/>
      <c r="G27" s="1112"/>
      <c r="H27" s="1116"/>
      <c r="I27" s="961"/>
      <c r="J27" s="1081"/>
      <c r="K27" s="1087"/>
      <c r="L27" s="986"/>
    </row>
    <row r="28" spans="1:12" x14ac:dyDescent="0.2">
      <c r="A28" s="1153"/>
      <c r="B28" s="942"/>
      <c r="C28" s="979"/>
      <c r="D28" s="942"/>
      <c r="E28" s="942"/>
      <c r="F28" s="942"/>
      <c r="G28" s="1096"/>
      <c r="H28" s="1116"/>
      <c r="I28" s="961"/>
      <c r="J28" s="1086"/>
      <c r="K28" s="1087"/>
      <c r="L28" s="986"/>
    </row>
    <row r="29" spans="1:12" x14ac:dyDescent="0.2">
      <c r="A29" s="1497" t="s">
        <v>488</v>
      </c>
      <c r="B29" s="1497"/>
      <c r="C29" s="1497"/>
      <c r="D29" s="1497"/>
      <c r="E29" s="1497"/>
      <c r="F29" s="1497"/>
      <c r="G29" s="1497"/>
      <c r="H29" s="1497"/>
      <c r="I29" s="1497"/>
      <c r="J29" s="1497"/>
      <c r="K29" s="1497"/>
      <c r="L29" s="1035">
        <f>ROUND(SUM(L22:L28),4)</f>
        <v>199.35740000000001</v>
      </c>
    </row>
    <row r="30" spans="1:12" x14ac:dyDescent="0.2">
      <c r="A30" s="930"/>
      <c r="B30" s="930"/>
      <c r="C30" s="930"/>
      <c r="D30" s="930"/>
      <c r="E30" s="930"/>
      <c r="F30" s="930"/>
      <c r="G30" s="930"/>
      <c r="H30" s="1023"/>
      <c r="I30" s="1023"/>
      <c r="J30" s="1023"/>
      <c r="K30" s="1023"/>
      <c r="L30" s="1023"/>
    </row>
    <row r="31" spans="1:12" ht="13.9" customHeight="1" x14ac:dyDescent="0.2">
      <c r="A31" s="1462" t="s">
        <v>447</v>
      </c>
      <c r="B31" s="1462"/>
      <c r="C31" s="1462"/>
      <c r="D31" s="1462"/>
      <c r="E31" s="1462"/>
      <c r="F31" s="1462"/>
      <c r="G31" s="1462"/>
      <c r="H31" s="1462"/>
      <c r="I31" s="1462"/>
      <c r="J31" s="1460" t="s">
        <v>166</v>
      </c>
      <c r="K31" s="1452" t="s">
        <v>489</v>
      </c>
      <c r="L31" s="1076" t="s">
        <v>449</v>
      </c>
    </row>
    <row r="32" spans="1:12" x14ac:dyDescent="0.2">
      <c r="A32" s="1462"/>
      <c r="B32" s="1462"/>
      <c r="C32" s="1462"/>
      <c r="D32" s="1462"/>
      <c r="E32" s="1462"/>
      <c r="F32" s="1462"/>
      <c r="G32" s="1462"/>
      <c r="H32" s="1462"/>
      <c r="I32" s="1462"/>
      <c r="J32" s="1460"/>
      <c r="K32" s="1452"/>
      <c r="L32" s="1026" t="s">
        <v>487</v>
      </c>
    </row>
    <row r="33" spans="1:12" x14ac:dyDescent="0.2">
      <c r="A33" s="1043" t="s">
        <v>379</v>
      </c>
      <c r="B33" s="1130" t="s">
        <v>713</v>
      </c>
      <c r="C33" s="979" t="s">
        <v>442</v>
      </c>
      <c r="D33" s="1525" t="s">
        <v>714</v>
      </c>
      <c r="E33" s="1525"/>
      <c r="F33" s="1525"/>
      <c r="G33" s="1525"/>
      <c r="H33" s="1525"/>
      <c r="I33" s="1525"/>
      <c r="J33" s="1080">
        <v>2</v>
      </c>
      <c r="K33" s="1020">
        <v>15.3812</v>
      </c>
      <c r="L33" s="1243">
        <f>J33*K33</f>
        <v>30.7624</v>
      </c>
    </row>
    <row r="34" spans="1:12" x14ac:dyDescent="0.2">
      <c r="A34" s="1043"/>
      <c r="B34" s="1130"/>
      <c r="C34" s="979"/>
      <c r="D34" s="942"/>
      <c r="E34" s="942"/>
      <c r="F34" s="942"/>
      <c r="G34" s="942"/>
      <c r="H34" s="942"/>
      <c r="I34" s="1144"/>
      <c r="J34" s="1080"/>
      <c r="K34" s="1020"/>
      <c r="L34" s="1243"/>
    </row>
    <row r="35" spans="1:12" x14ac:dyDescent="0.2">
      <c r="A35" s="1153"/>
      <c r="B35" s="942"/>
      <c r="C35" s="979"/>
      <c r="D35" s="942"/>
      <c r="E35" s="942"/>
      <c r="F35" s="942"/>
      <c r="G35" s="910"/>
      <c r="H35" s="979"/>
      <c r="I35" s="1092"/>
      <c r="J35" s="1080"/>
      <c r="K35" s="1020"/>
      <c r="L35" s="1243">
        <f>J35*K35</f>
        <v>0</v>
      </c>
    </row>
    <row r="36" spans="1:12" x14ac:dyDescent="0.2">
      <c r="A36" s="1082"/>
      <c r="B36" s="1083"/>
      <c r="C36" s="1083"/>
      <c r="D36" s="1083"/>
      <c r="E36" s="1083"/>
      <c r="F36" s="1083"/>
      <c r="G36" s="905"/>
      <c r="H36" s="1077"/>
      <c r="I36" s="1095"/>
      <c r="J36" s="1085"/>
      <c r="K36" s="1020"/>
      <c r="L36" s="1243">
        <f>J36*K36</f>
        <v>0</v>
      </c>
    </row>
    <row r="37" spans="1:12" x14ac:dyDescent="0.2">
      <c r="A37" s="1497" t="s">
        <v>490</v>
      </c>
      <c r="B37" s="1497"/>
      <c r="C37" s="1497"/>
      <c r="D37" s="1497"/>
      <c r="E37" s="1497"/>
      <c r="F37" s="1497"/>
      <c r="G37" s="1497"/>
      <c r="H37" s="1497"/>
      <c r="I37" s="1497"/>
      <c r="J37" s="1497"/>
      <c r="K37" s="1497"/>
      <c r="L37" s="1035">
        <f>ROUND(SUM(L33:L36),4)</f>
        <v>30.7624</v>
      </c>
    </row>
    <row r="38" spans="1:12" x14ac:dyDescent="0.2">
      <c r="A38" s="930"/>
      <c r="B38" s="930"/>
      <c r="C38" s="930"/>
      <c r="D38" s="930"/>
      <c r="E38" s="930"/>
      <c r="F38" s="930"/>
      <c r="G38" s="930"/>
      <c r="H38" s="930"/>
      <c r="I38" s="930"/>
      <c r="J38" s="1023"/>
      <c r="K38" s="1023"/>
      <c r="L38" s="1023"/>
    </row>
    <row r="39" spans="1:12" x14ac:dyDescent="0.2">
      <c r="A39" s="930"/>
      <c r="B39" s="930"/>
      <c r="C39" s="930"/>
      <c r="D39" s="930"/>
      <c r="E39" s="930"/>
      <c r="F39" s="930"/>
      <c r="G39" s="930"/>
      <c r="H39" s="930"/>
      <c r="I39" s="930"/>
      <c r="J39" s="1023"/>
      <c r="K39" s="1100" t="s">
        <v>491</v>
      </c>
      <c r="L39" s="1101">
        <f>L29+L37</f>
        <v>230.1198</v>
      </c>
    </row>
    <row r="40" spans="1:12" x14ac:dyDescent="0.2">
      <c r="A40" s="1102" t="s">
        <v>492</v>
      </c>
      <c r="B40" s="930"/>
      <c r="C40" s="930"/>
      <c r="D40" s="930"/>
      <c r="E40" s="930"/>
      <c r="F40" s="1103">
        <v>109.62</v>
      </c>
      <c r="G40" s="1257" t="str">
        <f>L18</f>
        <v>m³</v>
      </c>
      <c r="H40" s="1102"/>
      <c r="I40" s="930"/>
      <c r="J40" s="1105"/>
      <c r="K40" s="1106" t="s">
        <v>493</v>
      </c>
      <c r="L40" s="1035">
        <f>ROUND(L39/F40,4)</f>
        <v>2.0992999999999999</v>
      </c>
    </row>
    <row r="41" spans="1:12" x14ac:dyDescent="0.2">
      <c r="A41" s="1102"/>
      <c r="B41" s="930" t="s">
        <v>494</v>
      </c>
      <c r="C41" s="930"/>
      <c r="D41" s="930"/>
      <c r="E41" s="930"/>
      <c r="F41" s="1103">
        <v>4.8980000000000003E-2</v>
      </c>
      <c r="G41" s="1104"/>
      <c r="H41" s="1102"/>
      <c r="I41" s="930"/>
      <c r="J41" s="1105"/>
      <c r="K41" s="1100" t="s">
        <v>495</v>
      </c>
      <c r="L41" s="1035">
        <f>ROUND(L40*F41,4)</f>
        <v>0.1028</v>
      </c>
    </row>
    <row r="42" spans="1:12" x14ac:dyDescent="0.2">
      <c r="A42" s="1102"/>
      <c r="B42" s="930" t="s">
        <v>496</v>
      </c>
      <c r="C42" s="930"/>
      <c r="D42" s="930"/>
      <c r="E42" s="930"/>
      <c r="F42" s="1202"/>
      <c r="G42" s="1104"/>
      <c r="H42" s="1105"/>
      <c r="I42" s="1107"/>
      <c r="J42" s="1023"/>
      <c r="K42" s="1100" t="s">
        <v>497</v>
      </c>
      <c r="L42" s="1035">
        <f>L40*F42</f>
        <v>0</v>
      </c>
    </row>
    <row r="43" spans="1:12" x14ac:dyDescent="0.2">
      <c r="A43" s="930"/>
      <c r="B43" s="930"/>
      <c r="C43" s="930"/>
      <c r="D43" s="930"/>
      <c r="E43" s="930"/>
      <c r="F43" s="930"/>
      <c r="G43" s="930"/>
      <c r="H43" s="930"/>
      <c r="I43" s="930"/>
      <c r="J43" s="1023"/>
      <c r="K43" s="1023"/>
      <c r="L43" s="1099"/>
    </row>
    <row r="44" spans="1:12" x14ac:dyDescent="0.2">
      <c r="A44" s="1462" t="s">
        <v>498</v>
      </c>
      <c r="B44" s="1462"/>
      <c r="C44" s="1462"/>
      <c r="D44" s="1462"/>
      <c r="E44" s="1462"/>
      <c r="F44" s="1462"/>
      <c r="G44" s="1462"/>
      <c r="H44" s="1462"/>
      <c r="I44" s="1456" t="s">
        <v>499</v>
      </c>
      <c r="J44" s="1456"/>
      <c r="K44" s="1456"/>
      <c r="L44" s="1108">
        <f>ROUND(SUM(L40:L43),4)</f>
        <v>2.2021000000000002</v>
      </c>
    </row>
    <row r="45" spans="1:12" x14ac:dyDescent="0.2">
      <c r="A45" s="910"/>
      <c r="B45" s="910"/>
      <c r="C45" s="910"/>
      <c r="D45" s="910"/>
      <c r="E45" s="910"/>
      <c r="F45" s="910"/>
      <c r="G45" s="1109"/>
      <c r="H45" s="1109"/>
      <c r="I45" s="933"/>
      <c r="J45" s="933"/>
      <c r="K45" s="933"/>
      <c r="L45" s="910"/>
    </row>
    <row r="46" spans="1:12" x14ac:dyDescent="0.2">
      <c r="A46" s="1462" t="s">
        <v>500</v>
      </c>
      <c r="B46" s="1462"/>
      <c r="C46" s="1462"/>
      <c r="D46" s="1462"/>
      <c r="E46" s="1462"/>
      <c r="F46" s="1462"/>
      <c r="G46" s="1462"/>
      <c r="H46" s="1460" t="s">
        <v>166</v>
      </c>
      <c r="I46" s="1460"/>
      <c r="J46" s="1460" t="s">
        <v>165</v>
      </c>
      <c r="K46" s="1076" t="s">
        <v>501</v>
      </c>
      <c r="L46" s="1076" t="s">
        <v>484</v>
      </c>
    </row>
    <row r="47" spans="1:12" x14ac:dyDescent="0.2">
      <c r="A47" s="1462"/>
      <c r="B47" s="1462"/>
      <c r="C47" s="1462"/>
      <c r="D47" s="1462"/>
      <c r="E47" s="1462"/>
      <c r="F47" s="1462"/>
      <c r="G47" s="1462"/>
      <c r="H47" s="1460"/>
      <c r="I47" s="1460"/>
      <c r="J47" s="1460"/>
      <c r="K47" s="1110" t="s">
        <v>451</v>
      </c>
      <c r="L47" s="1026" t="s">
        <v>451</v>
      </c>
    </row>
    <row r="48" spans="1:12" x14ac:dyDescent="0.2">
      <c r="A48" s="1244"/>
      <c r="B48" s="942"/>
      <c r="C48" s="979"/>
      <c r="D48" s="942"/>
      <c r="E48" s="942"/>
      <c r="F48" s="942"/>
      <c r="G48" s="937"/>
      <c r="H48" s="1521"/>
      <c r="I48" s="1521"/>
      <c r="J48" s="1113"/>
      <c r="K48" s="1020"/>
      <c r="L48" s="1245">
        <f>H48*K48</f>
        <v>0</v>
      </c>
    </row>
    <row r="49" spans="1:12" x14ac:dyDescent="0.2">
      <c r="A49" s="1114"/>
      <c r="B49" s="979"/>
      <c r="C49" s="979"/>
      <c r="D49" s="942"/>
      <c r="E49" s="942"/>
      <c r="F49" s="942"/>
      <c r="G49" s="937"/>
      <c r="H49" s="1495"/>
      <c r="I49" s="1495"/>
      <c r="J49" s="1113"/>
      <c r="K49" s="1020"/>
      <c r="L49" s="1138">
        <f>H49*K49</f>
        <v>0</v>
      </c>
    </row>
    <row r="50" spans="1:12" x14ac:dyDescent="0.2">
      <c r="A50" s="1114"/>
      <c r="B50" s="979"/>
      <c r="C50" s="979"/>
      <c r="D50" s="942"/>
      <c r="E50" s="942"/>
      <c r="F50" s="942"/>
      <c r="G50" s="937"/>
      <c r="H50" s="1495"/>
      <c r="I50" s="1495"/>
      <c r="J50" s="1113"/>
      <c r="K50" s="1020"/>
      <c r="L50" s="1138">
        <f>H50*K50</f>
        <v>0</v>
      </c>
    </row>
    <row r="51" spans="1:12" x14ac:dyDescent="0.2">
      <c r="A51" s="1114"/>
      <c r="B51" s="979"/>
      <c r="C51" s="979">
        <f>-C49</f>
        <v>0</v>
      </c>
      <c r="D51" s="942"/>
      <c r="E51" s="942"/>
      <c r="F51" s="942"/>
      <c r="G51" s="937"/>
      <c r="H51" s="1495"/>
      <c r="I51" s="1495"/>
      <c r="J51" s="1113"/>
      <c r="K51" s="1020"/>
      <c r="L51" s="1138">
        <f>H51*K51</f>
        <v>0</v>
      </c>
    </row>
    <row r="52" spans="1:12" x14ac:dyDescent="0.2">
      <c r="A52" s="1114"/>
      <c r="B52" s="979"/>
      <c r="C52" s="979"/>
      <c r="D52" s="1083"/>
      <c r="E52" s="1083"/>
      <c r="F52" s="1083"/>
      <c r="G52" s="1115"/>
      <c r="H52" s="1512"/>
      <c r="I52" s="1512"/>
      <c r="J52" s="1113"/>
      <c r="K52" s="1020"/>
      <c r="L52" s="1246">
        <f>H52*K52</f>
        <v>0</v>
      </c>
    </row>
    <row r="53" spans="1:12" x14ac:dyDescent="0.2">
      <c r="A53" s="1454" t="s">
        <v>502</v>
      </c>
      <c r="B53" s="1454"/>
      <c r="C53" s="1454"/>
      <c r="D53" s="1454"/>
      <c r="E53" s="1454"/>
      <c r="F53" s="1454"/>
      <c r="G53" s="1454"/>
      <c r="H53" s="1454"/>
      <c r="I53" s="1454"/>
      <c r="J53" s="1454"/>
      <c r="K53" s="1454"/>
      <c r="L53" s="1108">
        <f>ROUND(SUM(L48:L52),4)</f>
        <v>0</v>
      </c>
    </row>
    <row r="54" spans="1:12" x14ac:dyDescent="0.2">
      <c r="A54" s="932"/>
      <c r="B54" s="932"/>
      <c r="C54" s="932"/>
      <c r="D54" s="932"/>
      <c r="E54" s="932"/>
      <c r="F54" s="932"/>
      <c r="G54" s="932"/>
      <c r="H54" s="932"/>
      <c r="I54" s="932"/>
      <c r="J54" s="910"/>
      <c r="K54" s="1117"/>
      <c r="L54" s="1118"/>
    </row>
    <row r="55" spans="1:12" ht="13.9" customHeight="1" x14ac:dyDescent="0.2">
      <c r="A55" s="1462" t="s">
        <v>503</v>
      </c>
      <c r="B55" s="1462"/>
      <c r="C55" s="1462"/>
      <c r="D55" s="1462"/>
      <c r="E55" s="1462"/>
      <c r="F55" s="1462"/>
      <c r="G55" s="1452" t="s">
        <v>504</v>
      </c>
      <c r="H55" s="1460" t="s">
        <v>505</v>
      </c>
      <c r="I55" s="1460"/>
      <c r="J55" s="1460"/>
      <c r="K55" s="1460"/>
      <c r="L55" s="1460" t="s">
        <v>506</v>
      </c>
    </row>
    <row r="56" spans="1:12" x14ac:dyDescent="0.2">
      <c r="A56" s="1462"/>
      <c r="B56" s="1462"/>
      <c r="C56" s="1462"/>
      <c r="D56" s="1462"/>
      <c r="E56" s="1462"/>
      <c r="F56" s="1462"/>
      <c r="G56" s="1452"/>
      <c r="H56" s="944" t="s">
        <v>112</v>
      </c>
      <c r="I56" s="1095" t="s">
        <v>380</v>
      </c>
      <c r="J56" s="1026" t="s">
        <v>383</v>
      </c>
      <c r="K56" s="1110" t="s">
        <v>385</v>
      </c>
      <c r="L56" s="1460"/>
    </row>
    <row r="57" spans="1:12" x14ac:dyDescent="0.2">
      <c r="A57" s="1462"/>
      <c r="B57" s="1462"/>
      <c r="C57" s="1462"/>
      <c r="D57" s="1462"/>
      <c r="E57" s="1462"/>
      <c r="F57" s="1462"/>
      <c r="G57" s="1452"/>
      <c r="H57" s="943" t="s">
        <v>507</v>
      </c>
      <c r="I57" s="1119"/>
      <c r="J57" s="1119"/>
      <c r="K57" s="1119"/>
      <c r="L57" s="1460"/>
    </row>
    <row r="58" spans="1:12" x14ac:dyDescent="0.2">
      <c r="A58" s="1488"/>
      <c r="B58" s="1489"/>
      <c r="C58" s="1490"/>
      <c r="D58" s="1502"/>
      <c r="E58" s="1502"/>
      <c r="F58" s="1503"/>
      <c r="G58" s="1493">
        <f>ROUND(H48/1000,5)</f>
        <v>0</v>
      </c>
      <c r="H58" s="1120" t="s">
        <v>508</v>
      </c>
      <c r="I58" s="1121"/>
      <c r="J58" s="1121"/>
      <c r="K58" s="1121"/>
      <c r="L58" s="1494">
        <f>G58*($I$57*I59+$J$57*J59+$K$57*K59)</f>
        <v>0</v>
      </c>
    </row>
    <row r="59" spans="1:12" x14ac:dyDescent="0.2">
      <c r="A59" s="1488"/>
      <c r="B59" s="1489"/>
      <c r="C59" s="1490"/>
      <c r="D59" s="1502"/>
      <c r="E59" s="1502"/>
      <c r="F59" s="1503"/>
      <c r="G59" s="1493"/>
      <c r="H59" s="1122" t="s">
        <v>509</v>
      </c>
      <c r="I59" s="1123"/>
      <c r="J59" s="1123"/>
      <c r="K59" s="1123"/>
      <c r="L59" s="1494"/>
    </row>
    <row r="60" spans="1:12" x14ac:dyDescent="0.2">
      <c r="A60" s="1043"/>
      <c r="B60" s="958"/>
      <c r="C60" s="979"/>
      <c r="D60" s="1151"/>
      <c r="E60" s="1151"/>
      <c r="F60" s="1141"/>
      <c r="G60" s="1112"/>
      <c r="H60" s="1235"/>
      <c r="I60" s="1236"/>
      <c r="J60" s="961"/>
      <c r="K60" s="1116"/>
      <c r="L60" s="986"/>
    </row>
    <row r="61" spans="1:12" x14ac:dyDescent="0.2">
      <c r="A61" s="1114"/>
      <c r="B61" s="979"/>
      <c r="C61" s="979"/>
      <c r="D61" s="1083"/>
      <c r="E61" s="1083"/>
      <c r="F61" s="1083"/>
      <c r="G61" s="1135"/>
      <c r="H61" s="1247"/>
      <c r="I61" s="1247"/>
      <c r="J61" s="1137"/>
      <c r="K61" s="1044"/>
      <c r="L61" s="1138">
        <f>G61*H61*K61</f>
        <v>0</v>
      </c>
    </row>
    <row r="62" spans="1:12" x14ac:dyDescent="0.2">
      <c r="A62" s="1454" t="s">
        <v>510</v>
      </c>
      <c r="B62" s="1454"/>
      <c r="C62" s="1454"/>
      <c r="D62" s="1454"/>
      <c r="E62" s="1454"/>
      <c r="F62" s="1454"/>
      <c r="G62" s="1454"/>
      <c r="H62" s="1454"/>
      <c r="I62" s="1454"/>
      <c r="J62" s="1454"/>
      <c r="K62" s="1454"/>
      <c r="L62" s="1025">
        <f>ROUND(SUM(L58:L61),4)</f>
        <v>0</v>
      </c>
    </row>
    <row r="63" spans="1:12" x14ac:dyDescent="0.2">
      <c r="A63" s="1049"/>
      <c r="B63" s="1049"/>
      <c r="C63" s="1049"/>
      <c r="D63" s="1049"/>
      <c r="E63" s="1049"/>
      <c r="F63" s="1049"/>
      <c r="G63" s="932"/>
      <c r="H63" s="1050"/>
      <c r="I63" s="1050"/>
      <c r="J63" s="1051"/>
      <c r="K63" s="1052"/>
      <c r="L63" s="1053"/>
    </row>
    <row r="64" spans="1:12" x14ac:dyDescent="0.2">
      <c r="A64" s="1454" t="s">
        <v>460</v>
      </c>
      <c r="B64" s="1454"/>
      <c r="C64" s="1454"/>
      <c r="D64" s="1454"/>
      <c r="E64" s="1454"/>
      <c r="F64" s="1454"/>
      <c r="G64" s="1454"/>
      <c r="H64" s="1454"/>
      <c r="I64" s="1454"/>
      <c r="J64" s="1454"/>
      <c r="K64" s="1454"/>
      <c r="L64" s="1025">
        <f>ROUND(L44+L53+L62,4)</f>
        <v>2.2021000000000002</v>
      </c>
    </row>
    <row r="65" spans="1:12" x14ac:dyDescent="0.2">
      <c r="A65" s="1455" t="s">
        <v>461</v>
      </c>
      <c r="B65" s="1455"/>
      <c r="C65" s="1455"/>
      <c r="D65" s="1455"/>
      <c r="E65" s="1455"/>
      <c r="F65" s="1455"/>
      <c r="G65" s="1455"/>
      <c r="H65" s="1455"/>
      <c r="I65" s="1455"/>
      <c r="J65" s="1455"/>
      <c r="K65" s="1055">
        <v>0.25569999999999998</v>
      </c>
      <c r="L65" s="1056">
        <f>ROUND(L64*K65,4)</f>
        <v>0.56310000000000004</v>
      </c>
    </row>
    <row r="66" spans="1:12" x14ac:dyDescent="0.2">
      <c r="A66" s="1456" t="s">
        <v>462</v>
      </c>
      <c r="B66" s="1456"/>
      <c r="C66" s="1456"/>
      <c r="D66" s="1456"/>
      <c r="E66" s="1456"/>
      <c r="F66" s="1456"/>
      <c r="G66" s="1456"/>
      <c r="H66" s="1456"/>
      <c r="I66" s="1456"/>
      <c r="J66" s="1456"/>
      <c r="K66" s="1456"/>
      <c r="L66" s="1126">
        <f>ROUND(L64+L65,2)</f>
        <v>2.77</v>
      </c>
    </row>
    <row r="67" spans="1:12" x14ac:dyDescent="0.2">
      <c r="A67" s="1058"/>
      <c r="B67" s="1058"/>
      <c r="C67" s="1058"/>
      <c r="D67" s="1058"/>
      <c r="E67" s="1058"/>
      <c r="F67" s="1058"/>
      <c r="G67" s="1058"/>
      <c r="H67" s="1058"/>
      <c r="I67" s="1058"/>
      <c r="J67" s="1058"/>
      <c r="K67" s="1058"/>
      <c r="L67" s="1058"/>
    </row>
    <row r="68" spans="1:12" ht="26.25" customHeight="1" x14ac:dyDescent="0.2">
      <c r="A68" s="1059" t="s">
        <v>463</v>
      </c>
      <c r="B68" s="1060"/>
      <c r="C68" s="1518" t="s">
        <v>595</v>
      </c>
      <c r="D68" s="1518"/>
      <c r="E68" s="1518"/>
      <c r="F68" s="1518"/>
      <c r="G68" s="1518"/>
      <c r="H68" s="1518"/>
      <c r="I68" s="1518"/>
      <c r="J68" s="1518"/>
      <c r="K68" s="1518"/>
      <c r="L68" s="1518"/>
    </row>
    <row r="69" spans="1:12" ht="13.9" customHeight="1" x14ac:dyDescent="0.2">
      <c r="A69" s="1210"/>
      <c r="B69" s="1184"/>
      <c r="C69" s="1506" t="s">
        <v>575</v>
      </c>
      <c r="D69" s="1506"/>
      <c r="E69" s="1506"/>
      <c r="F69" s="1506"/>
      <c r="G69" s="1506"/>
      <c r="H69" s="1506"/>
      <c r="I69" s="1506"/>
      <c r="J69" s="1506"/>
      <c r="K69" s="1506"/>
      <c r="L69" s="1506"/>
    </row>
    <row r="70" spans="1:12" x14ac:dyDescent="0.2">
      <c r="A70" s="1210"/>
      <c r="B70" s="1184"/>
      <c r="C70" s="1528"/>
      <c r="D70" s="1528"/>
      <c r="E70" s="1528"/>
      <c r="F70" s="1528"/>
      <c r="G70" s="1528"/>
      <c r="H70" s="1528"/>
      <c r="I70" s="1528"/>
      <c r="J70" s="1528"/>
      <c r="K70" s="1528"/>
      <c r="L70" s="1528"/>
    </row>
    <row r="71" spans="1:12" x14ac:dyDescent="0.2">
      <c r="A71" s="1071"/>
      <c r="B71" s="1129"/>
      <c r="C71" s="1073"/>
      <c r="D71" s="1073"/>
      <c r="E71" s="1073"/>
      <c r="F71" s="1073"/>
      <c r="G71" s="1073"/>
      <c r="H71" s="1073"/>
      <c r="I71" s="1073"/>
      <c r="J71" s="1073"/>
      <c r="K71" s="1073"/>
      <c r="L71" s="1074"/>
    </row>
  </sheetData>
  <mergeCells count="52">
    <mergeCell ref="A1:L1"/>
    <mergeCell ref="A2:L2"/>
    <mergeCell ref="A3:L3"/>
    <mergeCell ref="A4:L4"/>
    <mergeCell ref="A5:K5"/>
    <mergeCell ref="A6:K6"/>
    <mergeCell ref="A7:K7"/>
    <mergeCell ref="L7:L8"/>
    <mergeCell ref="A10:L10"/>
    <mergeCell ref="A12:D12"/>
    <mergeCell ref="A15:L16"/>
    <mergeCell ref="E18:J18"/>
    <mergeCell ref="A20:F21"/>
    <mergeCell ref="G20:G21"/>
    <mergeCell ref="H20:I20"/>
    <mergeCell ref="J20:K20"/>
    <mergeCell ref="D22:F22"/>
    <mergeCell ref="A29:K29"/>
    <mergeCell ref="A31:I32"/>
    <mergeCell ref="J31:J32"/>
    <mergeCell ref="K31:K32"/>
    <mergeCell ref="D33:I33"/>
    <mergeCell ref="A37:K37"/>
    <mergeCell ref="A44:H44"/>
    <mergeCell ref="I44:K44"/>
    <mergeCell ref="A46:G47"/>
    <mergeCell ref="H46:I47"/>
    <mergeCell ref="J46:J47"/>
    <mergeCell ref="H48:I48"/>
    <mergeCell ref="H49:I49"/>
    <mergeCell ref="H50:I50"/>
    <mergeCell ref="H51:I51"/>
    <mergeCell ref="H52:I52"/>
    <mergeCell ref="A53:K53"/>
    <mergeCell ref="A55:F57"/>
    <mergeCell ref="G55:G57"/>
    <mergeCell ref="H55:K55"/>
    <mergeCell ref="L55:L57"/>
    <mergeCell ref="A66:K66"/>
    <mergeCell ref="C68:L68"/>
    <mergeCell ref="C69:L69"/>
    <mergeCell ref="C70:L70"/>
    <mergeCell ref="G58:G59"/>
    <mergeCell ref="L58:L59"/>
    <mergeCell ref="A62:K62"/>
    <mergeCell ref="A64:K64"/>
    <mergeCell ref="A65:J65"/>
    <mergeCell ref="A58:A59"/>
    <mergeCell ref="B58:B59"/>
    <mergeCell ref="C58:C59"/>
    <mergeCell ref="D58:E59"/>
    <mergeCell ref="F58:F59"/>
  </mergeCells>
  <dataValidations count="1">
    <dataValidation allowBlank="1" showInputMessage="1" showErrorMessage="1" prompt="Clique duas vezes sobre o número do item para ser direcionado à Planilha Orçamentária." sqref="D18" xr:uid="{00000000-0002-0000-1400-000000000000}">
      <formula1>0</formula1>
      <formula2>0</formula2>
    </dataValidation>
  </dataValidations>
  <printOptions horizontalCentered="1" verticalCentered="1"/>
  <pageMargins left="0.51180555555555496" right="0.51180555555555496" top="0.78749999999999998" bottom="0.78749999999999998" header="0.51180555555555496" footer="0.51180555555555496"/>
  <pageSetup paperSize="9" scale="70" firstPageNumber="0"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L62"/>
  <sheetViews>
    <sheetView zoomScale="83" zoomScaleNormal="83" workbookViewId="0">
      <selection activeCell="P139" sqref="P139"/>
    </sheetView>
  </sheetViews>
  <sheetFormatPr defaultRowHeight="15" x14ac:dyDescent="0.2"/>
  <cols>
    <col min="1" max="2" width="7.6640625" style="902" customWidth="1"/>
    <col min="3" max="3" width="0.8046875" style="902" customWidth="1"/>
    <col min="4" max="4" width="3.765625" style="902" customWidth="1"/>
    <col min="5" max="5" width="23.67578125" style="902" customWidth="1"/>
    <col min="6" max="6" width="12.64453125" style="902" customWidth="1"/>
    <col min="7" max="7" width="8.7421875" style="902" customWidth="1"/>
    <col min="8" max="8" width="9.14453125" style="902" customWidth="1"/>
    <col min="9" max="11" width="8.7421875" style="902" customWidth="1"/>
    <col min="12" max="12" width="10.76171875" style="902" customWidth="1"/>
    <col min="13" max="1025" width="8.7421875" customWidth="1"/>
  </cols>
  <sheetData>
    <row r="1" spans="1:12" x14ac:dyDescent="0.2">
      <c r="A1" s="1474"/>
      <c r="B1" s="1474"/>
      <c r="C1" s="1474"/>
      <c r="D1" s="1474"/>
      <c r="E1" s="1474"/>
      <c r="F1" s="1474"/>
      <c r="G1" s="1474"/>
      <c r="H1" s="1474"/>
      <c r="I1" s="1474"/>
      <c r="J1" s="1474"/>
      <c r="K1" s="1474"/>
      <c r="L1" s="1474"/>
    </row>
    <row r="2" spans="1:12" x14ac:dyDescent="0.2">
      <c r="A2" s="1475" t="s">
        <v>629</v>
      </c>
      <c r="B2" s="1475"/>
      <c r="C2" s="1475"/>
      <c r="D2" s="1475"/>
      <c r="E2" s="1475"/>
      <c r="F2" s="1475"/>
      <c r="G2" s="1475"/>
      <c r="H2" s="1475"/>
      <c r="I2" s="1475"/>
      <c r="J2" s="1475"/>
      <c r="K2" s="1475"/>
      <c r="L2" s="1475"/>
    </row>
    <row r="3" spans="1:12" x14ac:dyDescent="0.2">
      <c r="A3" s="1474"/>
      <c r="B3" s="1474"/>
      <c r="C3" s="1474"/>
      <c r="D3" s="1474"/>
      <c r="E3" s="1474"/>
      <c r="F3" s="1474"/>
      <c r="G3" s="1474"/>
      <c r="H3" s="1474"/>
      <c r="I3" s="1474"/>
      <c r="J3" s="1474"/>
      <c r="K3" s="1474"/>
      <c r="L3" s="1474"/>
    </row>
    <row r="4" spans="1:12" x14ac:dyDescent="0.2">
      <c r="A4" s="1476"/>
      <c r="B4" s="1476"/>
      <c r="C4" s="1476"/>
      <c r="D4" s="1476"/>
      <c r="E4" s="1476"/>
      <c r="F4" s="1476"/>
      <c r="G4" s="1476"/>
      <c r="H4" s="1476"/>
      <c r="I4" s="1476"/>
      <c r="J4" s="1476"/>
      <c r="K4" s="1476"/>
      <c r="L4" s="1476"/>
    </row>
    <row r="5" spans="1:12" x14ac:dyDescent="0.2">
      <c r="A5" s="1477"/>
      <c r="B5" s="1477"/>
      <c r="C5" s="1477"/>
      <c r="D5" s="1477"/>
      <c r="E5" s="1477"/>
      <c r="F5" s="1477"/>
      <c r="G5" s="1477"/>
      <c r="H5" s="1477"/>
      <c r="I5" s="1477"/>
      <c r="J5" s="1477"/>
      <c r="K5" s="1477"/>
      <c r="L5" s="903" t="s">
        <v>419</v>
      </c>
    </row>
    <row r="6" spans="1:12" x14ac:dyDescent="0.2">
      <c r="A6" s="1469"/>
      <c r="B6" s="1469"/>
      <c r="C6" s="1469"/>
      <c r="D6" s="1469"/>
      <c r="E6" s="1469"/>
      <c r="F6" s="1469"/>
      <c r="G6" s="1469"/>
      <c r="H6" s="1469"/>
      <c r="I6" s="1469"/>
      <c r="J6" s="1469"/>
      <c r="K6" s="1469"/>
      <c r="L6" s="1075"/>
    </row>
    <row r="7" spans="1:12" ht="13.9" customHeight="1" x14ac:dyDescent="0.2">
      <c r="A7" s="1469"/>
      <c r="B7" s="1469"/>
      <c r="C7" s="1469"/>
      <c r="D7" s="1469"/>
      <c r="E7" s="1469"/>
      <c r="F7" s="1469"/>
      <c r="G7" s="1469"/>
      <c r="H7" s="1469"/>
      <c r="I7" s="1469"/>
      <c r="J7" s="1469"/>
      <c r="K7" s="1469"/>
      <c r="L7" s="1470" t="s">
        <v>195</v>
      </c>
    </row>
    <row r="8" spans="1:12" x14ac:dyDescent="0.2">
      <c r="A8" s="904"/>
      <c r="B8" s="905"/>
      <c r="C8" s="906"/>
      <c r="D8" s="907"/>
      <c r="E8" s="908"/>
      <c r="F8" s="906"/>
      <c r="G8" s="906"/>
      <c r="H8" s="906"/>
      <c r="I8" s="906"/>
      <c r="J8" s="906"/>
      <c r="K8" s="909"/>
      <c r="L8" s="1470"/>
    </row>
    <row r="9" spans="1:12" x14ac:dyDescent="0.2">
      <c r="A9" s="910"/>
      <c r="B9" s="910"/>
      <c r="C9" s="911"/>
      <c r="D9" s="912"/>
      <c r="E9" s="912"/>
      <c r="F9" s="913"/>
      <c r="G9" s="913"/>
      <c r="H9" s="913"/>
      <c r="I9" s="913"/>
      <c r="J9" s="913"/>
      <c r="K9" s="913"/>
      <c r="L9" s="914"/>
    </row>
    <row r="10" spans="1:12" x14ac:dyDescent="0.2">
      <c r="A10" s="1471"/>
      <c r="B10" s="1471"/>
      <c r="C10" s="1471"/>
      <c r="D10" s="1471"/>
      <c r="E10" s="1471"/>
      <c r="F10" s="1471"/>
      <c r="G10" s="1471"/>
      <c r="H10" s="1471"/>
      <c r="I10" s="1471"/>
      <c r="J10" s="1471"/>
      <c r="K10" s="1471"/>
      <c r="L10" s="1471"/>
    </row>
    <row r="11" spans="1:12" x14ac:dyDescent="0.2">
      <c r="A11" s="915"/>
      <c r="B11" s="912"/>
      <c r="C11" s="911"/>
      <c r="D11" s="912"/>
      <c r="E11" s="911"/>
      <c r="F11" s="911"/>
      <c r="G11" s="911"/>
      <c r="H11" s="911"/>
      <c r="I11" s="911"/>
      <c r="J11" s="911"/>
      <c r="K11" s="911"/>
      <c r="L11" s="916"/>
    </row>
    <row r="12" spans="1:12" x14ac:dyDescent="0.2">
      <c r="A12" s="1472" t="s">
        <v>421</v>
      </c>
      <c r="B12" s="1472"/>
      <c r="C12" s="1472"/>
      <c r="D12" s="1472"/>
      <c r="E12" s="917" t="s">
        <v>648</v>
      </c>
      <c r="F12" s="918"/>
      <c r="G12" s="918"/>
      <c r="H12" s="918"/>
      <c r="I12" s="918"/>
      <c r="J12" s="918"/>
      <c r="K12" s="918"/>
      <c r="L12" s="919"/>
    </row>
    <row r="13" spans="1:12" x14ac:dyDescent="0.2">
      <c r="A13" s="920"/>
      <c r="B13" s="907"/>
      <c r="C13" s="921"/>
      <c r="D13" s="907"/>
      <c r="E13" s="907"/>
      <c r="F13" s="906"/>
      <c r="G13" s="906"/>
      <c r="H13" s="906"/>
      <c r="I13" s="906"/>
      <c r="J13" s="906"/>
      <c r="K13" s="906"/>
      <c r="L13" s="922"/>
    </row>
    <row r="14" spans="1:12" x14ac:dyDescent="0.2">
      <c r="A14" s="913"/>
      <c r="B14" s="913"/>
      <c r="C14" s="913"/>
      <c r="D14" s="913"/>
      <c r="E14" s="913"/>
      <c r="F14" s="913"/>
      <c r="G14" s="913"/>
      <c r="H14" s="913"/>
      <c r="I14" s="913"/>
      <c r="J14" s="913"/>
      <c r="K14" s="913"/>
      <c r="L14" s="914"/>
    </row>
    <row r="15" spans="1:12" x14ac:dyDescent="0.2">
      <c r="A15" s="1473" t="s">
        <v>422</v>
      </c>
      <c r="B15" s="1473"/>
      <c r="C15" s="1473"/>
      <c r="D15" s="1473"/>
      <c r="E15" s="1473"/>
      <c r="F15" s="1473"/>
      <c r="G15" s="1473"/>
      <c r="H15" s="1473"/>
      <c r="I15" s="1473"/>
      <c r="J15" s="1473"/>
      <c r="K15" s="1473"/>
      <c r="L15" s="1473"/>
    </row>
    <row r="16" spans="1:12" x14ac:dyDescent="0.2">
      <c r="A16" s="1473"/>
      <c r="B16" s="1473"/>
      <c r="C16" s="1473"/>
      <c r="D16" s="1473"/>
      <c r="E16" s="1473"/>
      <c r="F16" s="1473"/>
      <c r="G16" s="1473"/>
      <c r="H16" s="1473"/>
      <c r="I16" s="1473"/>
      <c r="J16" s="1473"/>
      <c r="K16" s="1473"/>
      <c r="L16" s="1473"/>
    </row>
    <row r="17" spans="1:12" x14ac:dyDescent="0.2">
      <c r="A17" s="923"/>
      <c r="B17" s="923"/>
      <c r="C17" s="923"/>
      <c r="D17" s="923"/>
      <c r="E17" s="923"/>
      <c r="F17" s="923"/>
      <c r="G17" s="923"/>
      <c r="H17" s="923"/>
      <c r="I17" s="923"/>
      <c r="J17" s="923"/>
      <c r="K17" s="923"/>
      <c r="L17" s="923"/>
    </row>
    <row r="18" spans="1:12" ht="23.25" customHeight="1" x14ac:dyDescent="0.2">
      <c r="A18" s="924" t="s">
        <v>423</v>
      </c>
      <c r="B18" s="925"/>
      <c r="C18" s="925"/>
      <c r="D18" s="926" t="s">
        <v>195</v>
      </c>
      <c r="E18" s="1515" t="s">
        <v>596</v>
      </c>
      <c r="F18" s="1515"/>
      <c r="G18" s="1515"/>
      <c r="H18" s="1515"/>
      <c r="I18" s="1515"/>
      <c r="J18" s="1515"/>
      <c r="K18" s="928" t="s">
        <v>425</v>
      </c>
      <c r="L18" s="1262" t="s">
        <v>426</v>
      </c>
    </row>
    <row r="19" spans="1:12" x14ac:dyDescent="0.2">
      <c r="A19" s="910"/>
      <c r="B19" s="910"/>
      <c r="C19" s="910"/>
      <c r="D19" s="910"/>
      <c r="E19" s="910"/>
      <c r="F19" s="910"/>
      <c r="G19" s="910"/>
      <c r="H19" s="910"/>
      <c r="I19" s="910"/>
      <c r="J19" s="910"/>
      <c r="K19" s="910"/>
      <c r="L19" s="910"/>
    </row>
    <row r="20" spans="1:12" x14ac:dyDescent="0.2">
      <c r="A20" s="1499" t="s">
        <v>434</v>
      </c>
      <c r="B20" s="1499"/>
      <c r="C20" s="1499"/>
      <c r="D20" s="1499"/>
      <c r="E20" s="1499"/>
      <c r="F20" s="1499"/>
      <c r="G20" s="1460" t="s">
        <v>166</v>
      </c>
      <c r="H20" s="1460" t="s">
        <v>362</v>
      </c>
      <c r="I20" s="1460"/>
      <c r="J20" s="1500" t="s">
        <v>483</v>
      </c>
      <c r="K20" s="1500"/>
      <c r="L20" s="1076" t="s">
        <v>484</v>
      </c>
    </row>
    <row r="21" spans="1:12" x14ac:dyDescent="0.2">
      <c r="A21" s="1499"/>
      <c r="B21" s="1499"/>
      <c r="C21" s="1499"/>
      <c r="D21" s="1499"/>
      <c r="E21" s="1499"/>
      <c r="F21" s="1499"/>
      <c r="G21" s="1460"/>
      <c r="H21" s="943" t="s">
        <v>485</v>
      </c>
      <c r="I21" s="1077" t="s">
        <v>486</v>
      </c>
      <c r="J21" s="943" t="s">
        <v>485</v>
      </c>
      <c r="K21" s="1077" t="s">
        <v>486</v>
      </c>
      <c r="L21" s="1026" t="s">
        <v>487</v>
      </c>
    </row>
    <row r="22" spans="1:12" x14ac:dyDescent="0.2">
      <c r="A22" s="1078"/>
      <c r="B22" s="1079"/>
      <c r="C22" s="1050"/>
      <c r="D22" s="1049"/>
      <c r="E22" s="932"/>
      <c r="F22" s="934"/>
      <c r="G22" s="1080"/>
      <c r="H22" s="1116"/>
      <c r="I22" s="1263"/>
      <c r="J22" s="1081"/>
      <c r="K22" s="1081"/>
      <c r="L22" s="1245">
        <f>ROUND((G22*H22*J22)+(G22*I22*K22),4)</f>
        <v>0</v>
      </c>
    </row>
    <row r="23" spans="1:12" x14ac:dyDescent="0.2">
      <c r="A23" s="1043"/>
      <c r="B23" s="1130"/>
      <c r="C23" s="979"/>
      <c r="D23" s="942"/>
      <c r="E23" s="942"/>
      <c r="F23" s="1144"/>
      <c r="G23" s="1080"/>
      <c r="H23" s="1116"/>
      <c r="I23" s="1263"/>
      <c r="J23" s="1081"/>
      <c r="K23" s="1087"/>
      <c r="L23" s="1138">
        <f>ROUND((G23*H23*J23)+(G23*I23*K23),4)</f>
        <v>0</v>
      </c>
    </row>
    <row r="24" spans="1:12" x14ac:dyDescent="0.2">
      <c r="A24" s="1082"/>
      <c r="B24" s="1083"/>
      <c r="C24" s="1077"/>
      <c r="D24" s="1083"/>
      <c r="E24" s="1083"/>
      <c r="F24" s="1084"/>
      <c r="G24" s="1085"/>
      <c r="H24" s="1116"/>
      <c r="I24" s="1263"/>
      <c r="J24" s="1086"/>
      <c r="K24" s="1087"/>
      <c r="L24" s="1138">
        <f>ROUND((G24*H24*J24)+(G24*I24*K24),4)</f>
        <v>0</v>
      </c>
    </row>
    <row r="25" spans="1:12" x14ac:dyDescent="0.2">
      <c r="A25" s="1497" t="s">
        <v>488</v>
      </c>
      <c r="B25" s="1497"/>
      <c r="C25" s="1497"/>
      <c r="D25" s="1497"/>
      <c r="E25" s="1497"/>
      <c r="F25" s="1497"/>
      <c r="G25" s="1497"/>
      <c r="H25" s="1497"/>
      <c r="I25" s="1497"/>
      <c r="J25" s="1497"/>
      <c r="K25" s="1497"/>
      <c r="L25" s="1035">
        <f>ROUND(SUM(L22:L24),4)</f>
        <v>0</v>
      </c>
    </row>
    <row r="26" spans="1:12" x14ac:dyDescent="0.2">
      <c r="A26" s="930"/>
      <c r="B26" s="930"/>
      <c r="C26" s="930"/>
      <c r="D26" s="930"/>
      <c r="E26" s="930"/>
      <c r="F26" s="930"/>
      <c r="G26" s="930"/>
      <c r="H26" s="1023"/>
      <c r="I26" s="1023"/>
      <c r="J26" s="1023"/>
      <c r="K26" s="1023"/>
      <c r="L26" s="1023"/>
    </row>
    <row r="27" spans="1:12" ht="13.9" customHeight="1" x14ac:dyDescent="0.2">
      <c r="A27" s="1462" t="s">
        <v>447</v>
      </c>
      <c r="B27" s="1462"/>
      <c r="C27" s="1462"/>
      <c r="D27" s="1462"/>
      <c r="E27" s="1462"/>
      <c r="F27" s="1462"/>
      <c r="G27" s="1462"/>
      <c r="H27" s="1462"/>
      <c r="I27" s="1462"/>
      <c r="J27" s="1460" t="s">
        <v>166</v>
      </c>
      <c r="K27" s="1452" t="s">
        <v>489</v>
      </c>
      <c r="L27" s="1076" t="s">
        <v>449</v>
      </c>
    </row>
    <row r="28" spans="1:12" x14ac:dyDescent="0.2">
      <c r="A28" s="1462"/>
      <c r="B28" s="1462"/>
      <c r="C28" s="1462"/>
      <c r="D28" s="1462"/>
      <c r="E28" s="1462"/>
      <c r="F28" s="1462"/>
      <c r="G28" s="1462"/>
      <c r="H28" s="1462"/>
      <c r="I28" s="1462"/>
      <c r="J28" s="1460"/>
      <c r="K28" s="1452"/>
      <c r="L28" s="1026" t="s">
        <v>487</v>
      </c>
    </row>
    <row r="29" spans="1:12" x14ac:dyDescent="0.2">
      <c r="A29" s="1043"/>
      <c r="B29" s="1130"/>
      <c r="C29" s="979"/>
      <c r="D29" s="942"/>
      <c r="E29" s="942"/>
      <c r="F29" s="942"/>
      <c r="G29" s="910"/>
      <c r="H29" s="979"/>
      <c r="I29" s="1092"/>
      <c r="J29" s="1080"/>
      <c r="K29" s="1132"/>
      <c r="L29" s="1243">
        <f>ROUND(J29*K29,4)</f>
        <v>0</v>
      </c>
    </row>
    <row r="30" spans="1:12" x14ac:dyDescent="0.2">
      <c r="A30" s="1043"/>
      <c r="B30" s="1130"/>
      <c r="C30" s="979"/>
      <c r="D30" s="942"/>
      <c r="E30" s="942"/>
      <c r="F30" s="942"/>
      <c r="G30" s="910"/>
      <c r="H30" s="979"/>
      <c r="I30" s="1092"/>
      <c r="J30" s="1080"/>
      <c r="K30" s="1020"/>
      <c r="L30" s="1243">
        <f>ROUND(J30*K30,4)</f>
        <v>0</v>
      </c>
    </row>
    <row r="31" spans="1:12" x14ac:dyDescent="0.2">
      <c r="A31" s="1093"/>
      <c r="B31" s="1094"/>
      <c r="C31" s="1083"/>
      <c r="D31" s="1083"/>
      <c r="E31" s="1083"/>
      <c r="F31" s="1083"/>
      <c r="G31" s="905"/>
      <c r="H31" s="1077"/>
      <c r="I31" s="1095"/>
      <c r="J31" s="1085"/>
      <c r="K31" s="1020"/>
      <c r="L31" s="1243">
        <f>ROUND(J31*K31,4)</f>
        <v>0</v>
      </c>
    </row>
    <row r="32" spans="1:12" x14ac:dyDescent="0.2">
      <c r="A32" s="1497" t="s">
        <v>490</v>
      </c>
      <c r="B32" s="1497"/>
      <c r="C32" s="1497"/>
      <c r="D32" s="1497"/>
      <c r="E32" s="1497"/>
      <c r="F32" s="1497"/>
      <c r="G32" s="1497"/>
      <c r="H32" s="1497"/>
      <c r="I32" s="1497"/>
      <c r="J32" s="1497"/>
      <c r="K32" s="1497"/>
      <c r="L32" s="1035">
        <f>ROUND(SUM(L29:L31),4)</f>
        <v>0</v>
      </c>
    </row>
    <row r="33" spans="1:12" x14ac:dyDescent="0.2">
      <c r="A33" s="930"/>
      <c r="B33" s="930"/>
      <c r="C33" s="930"/>
      <c r="D33" s="930"/>
      <c r="E33" s="930"/>
      <c r="F33" s="930"/>
      <c r="G33" s="930"/>
      <c r="H33" s="930"/>
      <c r="I33" s="930"/>
      <c r="J33" s="1023"/>
      <c r="K33" s="1023"/>
      <c r="L33" s="1099"/>
    </row>
    <row r="34" spans="1:12" x14ac:dyDescent="0.2">
      <c r="A34" s="930"/>
      <c r="B34" s="930"/>
      <c r="C34" s="930"/>
      <c r="D34" s="930"/>
      <c r="E34" s="930"/>
      <c r="F34" s="930"/>
      <c r="G34" s="930"/>
      <c r="H34" s="930"/>
      <c r="I34" s="930"/>
      <c r="J34" s="1023"/>
      <c r="K34" s="1100" t="s">
        <v>491</v>
      </c>
      <c r="L34" s="1101">
        <f>L25+L32</f>
        <v>0</v>
      </c>
    </row>
    <row r="35" spans="1:12" x14ac:dyDescent="0.2">
      <c r="A35" s="1102" t="s">
        <v>492</v>
      </c>
      <c r="B35" s="930"/>
      <c r="C35" s="930"/>
      <c r="D35" s="930"/>
      <c r="E35" s="930"/>
      <c r="F35" s="1264">
        <v>1</v>
      </c>
      <c r="G35" s="1257" t="str">
        <f>L18</f>
        <v xml:space="preserve">un </v>
      </c>
      <c r="H35" s="1102"/>
      <c r="I35" s="930"/>
      <c r="J35" s="1105"/>
      <c r="K35" s="1106" t="s">
        <v>493</v>
      </c>
      <c r="L35" s="1035">
        <f>ROUND(L34/F35,4)</f>
        <v>0</v>
      </c>
    </row>
    <row r="36" spans="1:12" x14ac:dyDescent="0.2">
      <c r="A36" s="1102"/>
      <c r="B36" s="930" t="s">
        <v>494</v>
      </c>
      <c r="C36" s="930"/>
      <c r="D36" s="930"/>
      <c r="E36" s="930"/>
      <c r="F36" s="1103"/>
      <c r="G36" s="1104"/>
      <c r="H36" s="1102"/>
      <c r="I36" s="930"/>
      <c r="J36" s="1105"/>
      <c r="K36" s="1100" t="s">
        <v>495</v>
      </c>
      <c r="L36" s="1035">
        <f>ROUND(L35*F36,4)</f>
        <v>0</v>
      </c>
    </row>
    <row r="37" spans="1:12" x14ac:dyDescent="0.2">
      <c r="A37" s="1102"/>
      <c r="B37" s="930" t="s">
        <v>496</v>
      </c>
      <c r="C37" s="930"/>
      <c r="D37" s="930"/>
      <c r="E37" s="930"/>
      <c r="F37" s="1202"/>
      <c r="G37" s="1104"/>
      <c r="H37" s="1105"/>
      <c r="I37" s="1107"/>
      <c r="J37" s="1023"/>
      <c r="K37" s="1100" t="s">
        <v>497</v>
      </c>
      <c r="L37" s="1035">
        <f>ROUND(L35*F37,4)</f>
        <v>0</v>
      </c>
    </row>
    <row r="38" spans="1:12" x14ac:dyDescent="0.2">
      <c r="A38" s="930"/>
      <c r="B38" s="930"/>
      <c r="C38" s="930"/>
      <c r="D38" s="930"/>
      <c r="E38" s="930"/>
      <c r="F38" s="930"/>
      <c r="G38" s="930"/>
      <c r="H38" s="930"/>
      <c r="I38" s="930"/>
      <c r="J38" s="1023"/>
      <c r="K38" s="1023"/>
      <c r="L38" s="1099"/>
    </row>
    <row r="39" spans="1:12" x14ac:dyDescent="0.2">
      <c r="A39" s="1462" t="s">
        <v>498</v>
      </c>
      <c r="B39" s="1462"/>
      <c r="C39" s="1462"/>
      <c r="D39" s="1462"/>
      <c r="E39" s="1462"/>
      <c r="F39" s="1462"/>
      <c r="G39" s="1462"/>
      <c r="H39" s="1462"/>
      <c r="I39" s="1456" t="s">
        <v>499</v>
      </c>
      <c r="J39" s="1456"/>
      <c r="K39" s="1456"/>
      <c r="L39" s="1108">
        <f>ROUND(SUM(L35:L38),4)</f>
        <v>0</v>
      </c>
    </row>
    <row r="40" spans="1:12" x14ac:dyDescent="0.2">
      <c r="A40" s="910"/>
      <c r="B40" s="910"/>
      <c r="C40" s="910"/>
      <c r="D40" s="910"/>
      <c r="E40" s="910"/>
      <c r="F40" s="910"/>
      <c r="G40" s="1109"/>
      <c r="H40" s="1109"/>
      <c r="I40" s="933"/>
      <c r="J40" s="933"/>
      <c r="K40" s="933"/>
      <c r="L40" s="910"/>
    </row>
    <row r="41" spans="1:12" x14ac:dyDescent="0.2">
      <c r="A41" s="1462" t="s">
        <v>500</v>
      </c>
      <c r="B41" s="1462"/>
      <c r="C41" s="1462"/>
      <c r="D41" s="1462"/>
      <c r="E41" s="1462"/>
      <c r="F41" s="1462"/>
      <c r="G41" s="1462"/>
      <c r="H41" s="1460" t="s">
        <v>166</v>
      </c>
      <c r="I41" s="1460"/>
      <c r="J41" s="1460" t="s">
        <v>165</v>
      </c>
      <c r="K41" s="1076" t="s">
        <v>501</v>
      </c>
      <c r="L41" s="1076" t="s">
        <v>484</v>
      </c>
    </row>
    <row r="42" spans="1:12" x14ac:dyDescent="0.2">
      <c r="A42" s="1462"/>
      <c r="B42" s="1462"/>
      <c r="C42" s="1462"/>
      <c r="D42" s="1462"/>
      <c r="E42" s="1462"/>
      <c r="F42" s="1462"/>
      <c r="G42" s="1462"/>
      <c r="H42" s="1460"/>
      <c r="I42" s="1460"/>
      <c r="J42" s="1460"/>
      <c r="K42" s="1110" t="s">
        <v>451</v>
      </c>
      <c r="L42" s="1026" t="s">
        <v>451</v>
      </c>
    </row>
    <row r="43" spans="1:12" x14ac:dyDescent="0.2">
      <c r="A43" s="1533" t="s">
        <v>758</v>
      </c>
      <c r="B43" s="1533"/>
      <c r="C43" s="951" t="s">
        <v>442</v>
      </c>
      <c r="D43" s="1215" t="s">
        <v>759</v>
      </c>
      <c r="E43" s="1215"/>
      <c r="F43" s="1215"/>
      <c r="G43" s="1265"/>
      <c r="H43" s="1521">
        <v>19.6875</v>
      </c>
      <c r="I43" s="1521"/>
      <c r="J43" s="1116" t="s">
        <v>581</v>
      </c>
      <c r="K43" s="1020">
        <v>6.4790999999999999</v>
      </c>
      <c r="L43" s="1245">
        <f>ROUND(K43*H43,4)</f>
        <v>127.5573</v>
      </c>
    </row>
    <row r="44" spans="1:12" x14ac:dyDescent="0.2">
      <c r="A44" s="1149"/>
      <c r="B44" s="1150"/>
      <c r="C44" s="961"/>
      <c r="D44" s="1215"/>
      <c r="E44" s="1215"/>
      <c r="F44" s="1215"/>
      <c r="G44" s="1265"/>
      <c r="H44" s="1495"/>
      <c r="I44" s="1495"/>
      <c r="J44" s="1116"/>
      <c r="K44" s="1020"/>
      <c r="L44" s="1138">
        <f>ROUND(K44*H44,4)</f>
        <v>0</v>
      </c>
    </row>
    <row r="45" spans="1:12" x14ac:dyDescent="0.2">
      <c r="A45" s="1149"/>
      <c r="B45" s="1150"/>
      <c r="C45" s="961"/>
      <c r="D45" s="1215"/>
      <c r="E45" s="1215"/>
      <c r="F45" s="1215"/>
      <c r="G45" s="1265"/>
      <c r="H45" s="1495"/>
      <c r="I45" s="1495"/>
      <c r="J45" s="1116"/>
      <c r="K45" s="1020"/>
      <c r="L45" s="1138">
        <f>ROUND(K45*H45,4)</f>
        <v>0</v>
      </c>
    </row>
    <row r="46" spans="1:12" x14ac:dyDescent="0.2">
      <c r="A46" s="1266"/>
      <c r="B46" s="1215"/>
      <c r="C46" s="961"/>
      <c r="D46" s="1267"/>
      <c r="E46" s="1267"/>
      <c r="F46" s="1267"/>
      <c r="G46" s="1268"/>
      <c r="H46" s="1512"/>
      <c r="I46" s="1512"/>
      <c r="J46" s="1116"/>
      <c r="K46" s="1020"/>
      <c r="L46" s="1138">
        <f>ROUND(K46*H46,4)</f>
        <v>0</v>
      </c>
    </row>
    <row r="47" spans="1:12" x14ac:dyDescent="0.2">
      <c r="A47" s="1454" t="s">
        <v>502</v>
      </c>
      <c r="B47" s="1454"/>
      <c r="C47" s="1454"/>
      <c r="D47" s="1454"/>
      <c r="E47" s="1454"/>
      <c r="F47" s="1454"/>
      <c r="G47" s="1454"/>
      <c r="H47" s="1454"/>
      <c r="I47" s="1454"/>
      <c r="J47" s="1454"/>
      <c r="K47" s="1454"/>
      <c r="L47" s="1108">
        <f>ROUND(SUM(L43:L46),4)</f>
        <v>127.5573</v>
      </c>
    </row>
    <row r="48" spans="1:12" x14ac:dyDescent="0.2">
      <c r="A48" s="932"/>
      <c r="B48" s="932"/>
      <c r="C48" s="932"/>
      <c r="D48" s="932"/>
      <c r="E48" s="932"/>
      <c r="F48" s="932"/>
      <c r="G48" s="932"/>
      <c r="H48" s="932"/>
      <c r="I48" s="932"/>
      <c r="J48" s="910"/>
      <c r="K48" s="1117"/>
      <c r="L48" s="1118"/>
    </row>
    <row r="49" spans="1:12" ht="13.9" customHeight="1" x14ac:dyDescent="0.2">
      <c r="A49" s="1462" t="s">
        <v>503</v>
      </c>
      <c r="B49" s="1462"/>
      <c r="C49" s="1462"/>
      <c r="D49" s="1462"/>
      <c r="E49" s="1462"/>
      <c r="F49" s="1462"/>
      <c r="G49" s="1452" t="s">
        <v>504</v>
      </c>
      <c r="H49" s="1460" t="s">
        <v>505</v>
      </c>
      <c r="I49" s="1460"/>
      <c r="J49" s="1460"/>
      <c r="K49" s="1460"/>
      <c r="L49" s="1460" t="s">
        <v>506</v>
      </c>
    </row>
    <row r="50" spans="1:12" x14ac:dyDescent="0.2">
      <c r="A50" s="1462"/>
      <c r="B50" s="1462"/>
      <c r="C50" s="1462"/>
      <c r="D50" s="1462"/>
      <c r="E50" s="1462"/>
      <c r="F50" s="1462"/>
      <c r="G50" s="1452"/>
      <c r="H50" s="944" t="s">
        <v>112</v>
      </c>
      <c r="I50" s="1095" t="s">
        <v>380</v>
      </c>
      <c r="J50" s="1026" t="s">
        <v>383</v>
      </c>
      <c r="K50" s="1110" t="s">
        <v>385</v>
      </c>
      <c r="L50" s="1460"/>
    </row>
    <row r="51" spans="1:12" x14ac:dyDescent="0.2">
      <c r="A51" s="1462"/>
      <c r="B51" s="1462"/>
      <c r="C51" s="1462"/>
      <c r="D51" s="1462"/>
      <c r="E51" s="1462"/>
      <c r="F51" s="1462"/>
      <c r="G51" s="1452"/>
      <c r="H51" s="943" t="s">
        <v>507</v>
      </c>
      <c r="I51" s="1119"/>
      <c r="J51" s="1119"/>
      <c r="K51" s="1119"/>
      <c r="L51" s="1460"/>
    </row>
    <row r="52" spans="1:12" x14ac:dyDescent="0.2">
      <c r="A52" s="1529"/>
      <c r="B52" s="1530"/>
      <c r="C52" s="1490" t="s">
        <v>442</v>
      </c>
      <c r="D52" s="1531"/>
      <c r="E52" s="1531"/>
      <c r="F52" s="1532"/>
      <c r="G52" s="1493"/>
      <c r="H52" s="1120" t="s">
        <v>508</v>
      </c>
      <c r="I52" s="1269"/>
      <c r="J52" s="1270"/>
      <c r="K52" s="1271"/>
      <c r="L52" s="1494">
        <f>ROUND(G52*($I$51*I53+$J$51*J53+$K$51*K53),4)</f>
        <v>0</v>
      </c>
    </row>
    <row r="53" spans="1:12" x14ac:dyDescent="0.2">
      <c r="A53" s="1529"/>
      <c r="B53" s="1530"/>
      <c r="C53" s="1490"/>
      <c r="D53" s="1531"/>
      <c r="E53" s="1531"/>
      <c r="F53" s="1532"/>
      <c r="G53" s="1493"/>
      <c r="H53" s="1122" t="s">
        <v>509</v>
      </c>
      <c r="I53" s="1272"/>
      <c r="J53" s="1273"/>
      <c r="K53" s="1274"/>
      <c r="L53" s="1494"/>
    </row>
    <row r="54" spans="1:12" x14ac:dyDescent="0.2">
      <c r="A54" s="1454" t="s">
        <v>510</v>
      </c>
      <c r="B54" s="1454"/>
      <c r="C54" s="1454"/>
      <c r="D54" s="1454"/>
      <c r="E54" s="1454"/>
      <c r="F54" s="1454"/>
      <c r="G54" s="1454"/>
      <c r="H54" s="1454"/>
      <c r="I54" s="1454"/>
      <c r="J54" s="1454"/>
      <c r="K54" s="1454"/>
      <c r="L54" s="1025">
        <f>ROUND(SUM(L52:L53),4)</f>
        <v>0</v>
      </c>
    </row>
    <row r="55" spans="1:12" x14ac:dyDescent="0.2">
      <c r="A55" s="1049"/>
      <c r="B55" s="1049"/>
      <c r="C55" s="1049"/>
      <c r="D55" s="1049"/>
      <c r="E55" s="1049"/>
      <c r="F55" s="1049"/>
      <c r="G55" s="932"/>
      <c r="H55" s="1050"/>
      <c r="I55" s="1050"/>
      <c r="J55" s="1051"/>
      <c r="K55" s="1052"/>
      <c r="L55" s="1053"/>
    </row>
    <row r="56" spans="1:12" x14ac:dyDescent="0.2">
      <c r="A56" s="1454" t="s">
        <v>460</v>
      </c>
      <c r="B56" s="1454"/>
      <c r="C56" s="1454"/>
      <c r="D56" s="1454"/>
      <c r="E56" s="1454"/>
      <c r="F56" s="1454"/>
      <c r="G56" s="1454"/>
      <c r="H56" s="1454"/>
      <c r="I56" s="1454"/>
      <c r="J56" s="1454"/>
      <c r="K56" s="1454"/>
      <c r="L56" s="1025">
        <f>ROUND(L39+L47+L54,4)</f>
        <v>127.5573</v>
      </c>
    </row>
    <row r="57" spans="1:12" x14ac:dyDescent="0.2">
      <c r="A57" s="1455" t="s">
        <v>461</v>
      </c>
      <c r="B57" s="1455"/>
      <c r="C57" s="1455"/>
      <c r="D57" s="1455"/>
      <c r="E57" s="1455"/>
      <c r="F57" s="1455"/>
      <c r="G57" s="1455"/>
      <c r="H57" s="1455"/>
      <c r="I57" s="1455"/>
      <c r="J57" s="1455"/>
      <c r="K57" s="1055">
        <v>0.25569999999999998</v>
      </c>
      <c r="L57" s="1056">
        <f>ROUND(L56*K57,4)</f>
        <v>32.616399999999999</v>
      </c>
    </row>
    <row r="58" spans="1:12" x14ac:dyDescent="0.2">
      <c r="A58" s="1456" t="s">
        <v>462</v>
      </c>
      <c r="B58" s="1456"/>
      <c r="C58" s="1456"/>
      <c r="D58" s="1456"/>
      <c r="E58" s="1456"/>
      <c r="F58" s="1456"/>
      <c r="G58" s="1456"/>
      <c r="H58" s="1456"/>
      <c r="I58" s="1456"/>
      <c r="J58" s="1456"/>
      <c r="K58" s="1456"/>
      <c r="L58" s="1238">
        <f>ROUND(L56+L57,2)</f>
        <v>160.16999999999999</v>
      </c>
    </row>
    <row r="59" spans="1:12" x14ac:dyDescent="0.2">
      <c r="A59" s="1058"/>
      <c r="B59" s="1058"/>
      <c r="C59" s="1058"/>
      <c r="D59" s="1058"/>
      <c r="E59" s="1058"/>
      <c r="F59" s="1058"/>
      <c r="G59" s="1058"/>
      <c r="H59" s="1058"/>
      <c r="I59" s="1058"/>
      <c r="J59" s="1058"/>
      <c r="K59" s="1058"/>
      <c r="L59" s="1058"/>
    </row>
    <row r="60" spans="1:12" ht="21" customHeight="1" x14ac:dyDescent="0.2">
      <c r="A60" s="1059" t="s">
        <v>463</v>
      </c>
      <c r="B60" s="1060"/>
      <c r="C60" s="1518" t="s">
        <v>597</v>
      </c>
      <c r="D60" s="1518"/>
      <c r="E60" s="1518"/>
      <c r="F60" s="1518"/>
      <c r="G60" s="1518"/>
      <c r="H60" s="1518"/>
      <c r="I60" s="1518"/>
      <c r="J60" s="1518"/>
      <c r="K60" s="1518"/>
      <c r="L60" s="1518"/>
    </row>
    <row r="61" spans="1:12" ht="13.9" customHeight="1" x14ac:dyDescent="0.2">
      <c r="A61" s="1210"/>
      <c r="B61" s="1184"/>
      <c r="C61" s="1506" t="s">
        <v>598</v>
      </c>
      <c r="D61" s="1506"/>
      <c r="E61" s="1506"/>
      <c r="F61" s="1506"/>
      <c r="G61" s="1506"/>
      <c r="H61" s="1506"/>
      <c r="I61" s="1506"/>
      <c r="J61" s="1506"/>
      <c r="K61" s="1506"/>
      <c r="L61" s="1506"/>
    </row>
    <row r="62" spans="1:12" x14ac:dyDescent="0.2">
      <c r="A62" s="1071"/>
      <c r="B62" s="1129"/>
      <c r="C62" s="1073"/>
      <c r="D62" s="1073"/>
      <c r="E62" s="1073"/>
      <c r="F62" s="1073"/>
      <c r="G62" s="1073"/>
      <c r="H62" s="1073"/>
      <c r="I62" s="1073"/>
      <c r="J62" s="1073"/>
      <c r="K62" s="1073"/>
      <c r="L62" s="1074"/>
    </row>
  </sheetData>
  <mergeCells count="49">
    <mergeCell ref="A1:L1"/>
    <mergeCell ref="A2:L2"/>
    <mergeCell ref="A3:L3"/>
    <mergeCell ref="A4:L4"/>
    <mergeCell ref="A5:K5"/>
    <mergeCell ref="A6:K6"/>
    <mergeCell ref="A7:K7"/>
    <mergeCell ref="L7:L8"/>
    <mergeCell ref="A10:L10"/>
    <mergeCell ref="A12:D12"/>
    <mergeCell ref="A15:L16"/>
    <mergeCell ref="E18:J18"/>
    <mergeCell ref="A20:F21"/>
    <mergeCell ref="G20:G21"/>
    <mergeCell ref="H20:I20"/>
    <mergeCell ref="J20:K20"/>
    <mergeCell ref="A25:K25"/>
    <mergeCell ref="A27:I28"/>
    <mergeCell ref="J27:J28"/>
    <mergeCell ref="K27:K28"/>
    <mergeCell ref="A32:K32"/>
    <mergeCell ref="A39:H39"/>
    <mergeCell ref="I39:K39"/>
    <mergeCell ref="A41:G42"/>
    <mergeCell ref="H41:I42"/>
    <mergeCell ref="J41:J42"/>
    <mergeCell ref="A43:B43"/>
    <mergeCell ref="H43:I43"/>
    <mergeCell ref="H44:I44"/>
    <mergeCell ref="H45:I45"/>
    <mergeCell ref="H46:I46"/>
    <mergeCell ref="A47:K47"/>
    <mergeCell ref="A49:F51"/>
    <mergeCell ref="G49:G51"/>
    <mergeCell ref="H49:K49"/>
    <mergeCell ref="L49:L51"/>
    <mergeCell ref="A58:K58"/>
    <mergeCell ref="C60:L60"/>
    <mergeCell ref="C61:L61"/>
    <mergeCell ref="G52:G53"/>
    <mergeCell ref="L52:L53"/>
    <mergeCell ref="A54:K54"/>
    <mergeCell ref="A56:K56"/>
    <mergeCell ref="A57:J57"/>
    <mergeCell ref="A52:A53"/>
    <mergeCell ref="B52:B53"/>
    <mergeCell ref="C52:C53"/>
    <mergeCell ref="D52:E53"/>
    <mergeCell ref="F52:F53"/>
  </mergeCells>
  <dataValidations count="1">
    <dataValidation allowBlank="1" showInputMessage="1" showErrorMessage="1" prompt="Clique duas vezes sobre o número do item para ser direcionado à Planilha Orçamentária." sqref="D18" xr:uid="{00000000-0002-0000-1500-000000000000}">
      <formula1>0</formula1>
      <formula2>0</formula2>
    </dataValidation>
  </dataValidations>
  <printOptions horizontalCentered="1" verticalCentered="1"/>
  <pageMargins left="0.51180555555555496" right="0.51180555555555496" top="0.78749999999999998" bottom="0.78749999999999998" header="0.51180555555555496" footer="0.51180555555555496"/>
  <pageSetup paperSize="9" scale="72" firstPageNumber="0"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L62"/>
  <sheetViews>
    <sheetView topLeftCell="A43" zoomScale="83" zoomScaleNormal="83" workbookViewId="0">
      <selection activeCell="P139" sqref="P139"/>
    </sheetView>
  </sheetViews>
  <sheetFormatPr defaultRowHeight="15" x14ac:dyDescent="0.2"/>
  <cols>
    <col min="1" max="2" width="7.6640625" style="902" customWidth="1"/>
    <col min="3" max="3" width="1.74609375" style="902" customWidth="1"/>
    <col min="4" max="4" width="3.765625" style="902" customWidth="1"/>
    <col min="5" max="5" width="23.67578125" style="902" customWidth="1"/>
    <col min="6" max="6" width="12.64453125" style="902" customWidth="1"/>
    <col min="7" max="7" width="8.7421875" style="902" customWidth="1"/>
    <col min="8" max="8" width="9.01171875" style="902" customWidth="1"/>
    <col min="9" max="11" width="8.7421875" style="902" customWidth="1"/>
    <col min="12" max="12" width="10.76171875" style="902" customWidth="1"/>
    <col min="13" max="1025" width="8.7421875" customWidth="1"/>
  </cols>
  <sheetData>
    <row r="1" spans="1:12" x14ac:dyDescent="0.2">
      <c r="A1" s="1474"/>
      <c r="B1" s="1474"/>
      <c r="C1" s="1474"/>
      <c r="D1" s="1474"/>
      <c r="E1" s="1474"/>
      <c r="F1" s="1474"/>
      <c r="G1" s="1474"/>
      <c r="H1" s="1474"/>
      <c r="I1" s="1474"/>
      <c r="J1" s="1474"/>
      <c r="K1" s="1474"/>
      <c r="L1" s="1474"/>
    </row>
    <row r="2" spans="1:12" x14ac:dyDescent="0.2">
      <c r="A2" s="1475" t="s">
        <v>629</v>
      </c>
      <c r="B2" s="1475"/>
      <c r="C2" s="1475"/>
      <c r="D2" s="1475"/>
      <c r="E2" s="1475"/>
      <c r="F2" s="1475"/>
      <c r="G2" s="1475"/>
      <c r="H2" s="1475"/>
      <c r="I2" s="1475"/>
      <c r="J2" s="1475"/>
      <c r="K2" s="1475"/>
      <c r="L2" s="1475"/>
    </row>
    <row r="3" spans="1:12" x14ac:dyDescent="0.2">
      <c r="A3" s="1474"/>
      <c r="B3" s="1474"/>
      <c r="C3" s="1474"/>
      <c r="D3" s="1474"/>
      <c r="E3" s="1474"/>
      <c r="F3" s="1474"/>
      <c r="G3" s="1474"/>
      <c r="H3" s="1474"/>
      <c r="I3" s="1474"/>
      <c r="J3" s="1474"/>
      <c r="K3" s="1474"/>
      <c r="L3" s="1474"/>
    </row>
    <row r="4" spans="1:12" x14ac:dyDescent="0.2">
      <c r="A4" s="1476"/>
      <c r="B4" s="1476"/>
      <c r="C4" s="1476"/>
      <c r="D4" s="1476"/>
      <c r="E4" s="1476"/>
      <c r="F4" s="1476"/>
      <c r="G4" s="1476"/>
      <c r="H4" s="1476"/>
      <c r="I4" s="1476"/>
      <c r="J4" s="1476"/>
      <c r="K4" s="1476"/>
      <c r="L4" s="1476"/>
    </row>
    <row r="5" spans="1:12" x14ac:dyDescent="0.2">
      <c r="A5" s="1477"/>
      <c r="B5" s="1477"/>
      <c r="C5" s="1477"/>
      <c r="D5" s="1477"/>
      <c r="E5" s="1477"/>
      <c r="F5" s="1477"/>
      <c r="G5" s="1477"/>
      <c r="H5" s="1477"/>
      <c r="I5" s="1477"/>
      <c r="J5" s="1477"/>
      <c r="K5" s="1477"/>
      <c r="L5" s="903" t="s">
        <v>419</v>
      </c>
    </row>
    <row r="6" spans="1:12" x14ac:dyDescent="0.2">
      <c r="A6" s="1469"/>
      <c r="B6" s="1469"/>
      <c r="C6" s="1469"/>
      <c r="D6" s="1469"/>
      <c r="E6" s="1469"/>
      <c r="F6" s="1469"/>
      <c r="G6" s="1469"/>
      <c r="H6" s="1469"/>
      <c r="I6" s="1469"/>
      <c r="J6" s="1469"/>
      <c r="K6" s="1469"/>
      <c r="L6" s="1075"/>
    </row>
    <row r="7" spans="1:12" ht="13.9" customHeight="1" x14ac:dyDescent="0.2">
      <c r="A7" s="1469"/>
      <c r="B7" s="1469"/>
      <c r="C7" s="1469"/>
      <c r="D7" s="1469"/>
      <c r="E7" s="1469"/>
      <c r="F7" s="1469"/>
      <c r="G7" s="1469"/>
      <c r="H7" s="1469"/>
      <c r="I7" s="1469"/>
      <c r="J7" s="1469"/>
      <c r="K7" s="1469"/>
      <c r="L7" s="1470" t="s">
        <v>196</v>
      </c>
    </row>
    <row r="8" spans="1:12" x14ac:dyDescent="0.2">
      <c r="A8" s="904"/>
      <c r="B8" s="905"/>
      <c r="C8" s="906"/>
      <c r="D8" s="907"/>
      <c r="E8" s="908"/>
      <c r="F8" s="906"/>
      <c r="G8" s="906"/>
      <c r="H8" s="906"/>
      <c r="I8" s="906"/>
      <c r="J8" s="906"/>
      <c r="K8" s="909"/>
      <c r="L8" s="1470"/>
    </row>
    <row r="9" spans="1:12" x14ac:dyDescent="0.2">
      <c r="A9" s="910"/>
      <c r="B9" s="910"/>
      <c r="C9" s="911"/>
      <c r="D9" s="912"/>
      <c r="E9" s="912"/>
      <c r="F9" s="913"/>
      <c r="G9" s="913"/>
      <c r="H9" s="913"/>
      <c r="I9" s="913"/>
      <c r="J9" s="913"/>
      <c r="K9" s="913"/>
      <c r="L9" s="914"/>
    </row>
    <row r="10" spans="1:12" x14ac:dyDescent="0.2">
      <c r="A10" s="1471"/>
      <c r="B10" s="1471"/>
      <c r="C10" s="1471"/>
      <c r="D10" s="1471"/>
      <c r="E10" s="1471"/>
      <c r="F10" s="1471"/>
      <c r="G10" s="1471"/>
      <c r="H10" s="1471"/>
      <c r="I10" s="1471"/>
      <c r="J10" s="1471"/>
      <c r="K10" s="1471"/>
      <c r="L10" s="1471"/>
    </row>
    <row r="11" spans="1:12" x14ac:dyDescent="0.2">
      <c r="A11" s="915"/>
      <c r="B11" s="912"/>
      <c r="C11" s="911"/>
      <c r="D11" s="912"/>
      <c r="E11" s="911"/>
      <c r="F11" s="911"/>
      <c r="G11" s="911"/>
      <c r="H11" s="911"/>
      <c r="I11" s="911"/>
      <c r="J11" s="911"/>
      <c r="K11" s="911"/>
      <c r="L11" s="916"/>
    </row>
    <row r="12" spans="1:12" x14ac:dyDescent="0.2">
      <c r="A12" s="1472" t="s">
        <v>421</v>
      </c>
      <c r="B12" s="1472"/>
      <c r="C12" s="1472"/>
      <c r="D12" s="1472"/>
      <c r="E12" s="917" t="s">
        <v>648</v>
      </c>
      <c r="F12" s="918"/>
      <c r="G12" s="918"/>
      <c r="H12" s="918"/>
      <c r="I12" s="918"/>
      <c r="J12" s="918"/>
      <c r="K12" s="918"/>
      <c r="L12" s="919"/>
    </row>
    <row r="13" spans="1:12" x14ac:dyDescent="0.2">
      <c r="A13" s="920"/>
      <c r="B13" s="907"/>
      <c r="C13" s="921"/>
      <c r="D13" s="907"/>
      <c r="E13" s="907"/>
      <c r="F13" s="906"/>
      <c r="G13" s="906"/>
      <c r="H13" s="906"/>
      <c r="I13" s="906"/>
      <c r="J13" s="906"/>
      <c r="K13" s="906"/>
      <c r="L13" s="922"/>
    </row>
    <row r="14" spans="1:12" x14ac:dyDescent="0.2">
      <c r="A14" s="913"/>
      <c r="B14" s="913"/>
      <c r="C14" s="913"/>
      <c r="D14" s="913"/>
      <c r="E14" s="913"/>
      <c r="F14" s="913"/>
      <c r="G14" s="913"/>
      <c r="H14" s="913"/>
      <c r="I14" s="913"/>
      <c r="J14" s="913"/>
      <c r="K14" s="913"/>
      <c r="L14" s="914"/>
    </row>
    <row r="15" spans="1:12" x14ac:dyDescent="0.2">
      <c r="A15" s="1473" t="s">
        <v>422</v>
      </c>
      <c r="B15" s="1473"/>
      <c r="C15" s="1473"/>
      <c r="D15" s="1473"/>
      <c r="E15" s="1473"/>
      <c r="F15" s="1473"/>
      <c r="G15" s="1473"/>
      <c r="H15" s="1473"/>
      <c r="I15" s="1473"/>
      <c r="J15" s="1473"/>
      <c r="K15" s="1473"/>
      <c r="L15" s="1473"/>
    </row>
    <row r="16" spans="1:12" x14ac:dyDescent="0.2">
      <c r="A16" s="1473"/>
      <c r="B16" s="1473"/>
      <c r="C16" s="1473"/>
      <c r="D16" s="1473"/>
      <c r="E16" s="1473"/>
      <c r="F16" s="1473"/>
      <c r="G16" s="1473"/>
      <c r="H16" s="1473"/>
      <c r="I16" s="1473"/>
      <c r="J16" s="1473"/>
      <c r="K16" s="1473"/>
      <c r="L16" s="1473"/>
    </row>
    <row r="17" spans="1:12" x14ac:dyDescent="0.2">
      <c r="A17" s="923"/>
      <c r="B17" s="923"/>
      <c r="C17" s="923"/>
      <c r="D17" s="923"/>
      <c r="E17" s="923"/>
      <c r="F17" s="923"/>
      <c r="G17" s="923"/>
      <c r="H17" s="923"/>
      <c r="I17" s="923"/>
      <c r="J17" s="923"/>
      <c r="K17" s="923"/>
      <c r="L17" s="923"/>
    </row>
    <row r="18" spans="1:12" ht="21" customHeight="1" x14ac:dyDescent="0.2">
      <c r="A18" s="924" t="s">
        <v>423</v>
      </c>
      <c r="B18" s="925"/>
      <c r="C18" s="925"/>
      <c r="D18" s="926" t="s">
        <v>196</v>
      </c>
      <c r="E18" s="1515" t="s">
        <v>599</v>
      </c>
      <c r="F18" s="1515"/>
      <c r="G18" s="1515"/>
      <c r="H18" s="1515"/>
      <c r="I18" s="1515"/>
      <c r="J18" s="1515"/>
      <c r="K18" s="928" t="s">
        <v>425</v>
      </c>
      <c r="L18" s="1262" t="s">
        <v>426</v>
      </c>
    </row>
    <row r="19" spans="1:12" x14ac:dyDescent="0.2">
      <c r="A19" s="910"/>
      <c r="B19" s="910"/>
      <c r="C19" s="910"/>
      <c r="D19" s="910"/>
      <c r="E19" s="910"/>
      <c r="F19" s="910"/>
      <c r="G19" s="910"/>
      <c r="H19" s="910"/>
      <c r="I19" s="910"/>
      <c r="J19" s="910"/>
      <c r="K19" s="910"/>
      <c r="L19" s="910"/>
    </row>
    <row r="20" spans="1:12" x14ac:dyDescent="0.2">
      <c r="A20" s="1499" t="s">
        <v>434</v>
      </c>
      <c r="B20" s="1499"/>
      <c r="C20" s="1499"/>
      <c r="D20" s="1499"/>
      <c r="E20" s="1499"/>
      <c r="F20" s="1499"/>
      <c r="G20" s="1460" t="s">
        <v>166</v>
      </c>
      <c r="H20" s="1460" t="s">
        <v>362</v>
      </c>
      <c r="I20" s="1460"/>
      <c r="J20" s="1500" t="s">
        <v>483</v>
      </c>
      <c r="K20" s="1500"/>
      <c r="L20" s="1076" t="s">
        <v>484</v>
      </c>
    </row>
    <row r="21" spans="1:12" x14ac:dyDescent="0.2">
      <c r="A21" s="1499"/>
      <c r="B21" s="1499"/>
      <c r="C21" s="1499"/>
      <c r="D21" s="1499"/>
      <c r="E21" s="1499"/>
      <c r="F21" s="1499"/>
      <c r="G21" s="1460"/>
      <c r="H21" s="943" t="s">
        <v>485</v>
      </c>
      <c r="I21" s="1077" t="s">
        <v>486</v>
      </c>
      <c r="J21" s="943" t="s">
        <v>485</v>
      </c>
      <c r="K21" s="1077" t="s">
        <v>486</v>
      </c>
      <c r="L21" s="1026" t="s">
        <v>487</v>
      </c>
    </row>
    <row r="22" spans="1:12" x14ac:dyDescent="0.2">
      <c r="A22" s="1078"/>
      <c r="B22" s="1079"/>
      <c r="C22" s="1050"/>
      <c r="D22" s="1049"/>
      <c r="E22" s="932"/>
      <c r="F22" s="934"/>
      <c r="G22" s="1080"/>
      <c r="H22" s="1116"/>
      <c r="I22" s="1263"/>
      <c r="J22" s="1081"/>
      <c r="K22" s="1081"/>
      <c r="L22" s="1245">
        <f>ROUND((G22*H22*J22)+(G22*I22*K22),4)</f>
        <v>0</v>
      </c>
    </row>
    <row r="23" spans="1:12" x14ac:dyDescent="0.2">
      <c r="A23" s="1043"/>
      <c r="B23" s="1130"/>
      <c r="C23" s="979"/>
      <c r="D23" s="942"/>
      <c r="E23" s="942"/>
      <c r="F23" s="1144"/>
      <c r="G23" s="1080"/>
      <c r="H23" s="1116"/>
      <c r="I23" s="1263"/>
      <c r="J23" s="1081"/>
      <c r="K23" s="1087"/>
      <c r="L23" s="1138">
        <f>ROUND((G23*H23*J23)+(G23*I23*K23),4)</f>
        <v>0</v>
      </c>
    </row>
    <row r="24" spans="1:12" x14ac:dyDescent="0.2">
      <c r="A24" s="1082"/>
      <c r="B24" s="1083"/>
      <c r="C24" s="1077"/>
      <c r="D24" s="1083"/>
      <c r="E24" s="1083"/>
      <c r="F24" s="1084"/>
      <c r="G24" s="1085"/>
      <c r="H24" s="1116"/>
      <c r="I24" s="1263"/>
      <c r="J24" s="1086"/>
      <c r="K24" s="1087"/>
      <c r="L24" s="1138">
        <f>ROUND((G24*H24*J24)+(G24*I24*K24),4)</f>
        <v>0</v>
      </c>
    </row>
    <row r="25" spans="1:12" x14ac:dyDescent="0.2">
      <c r="A25" s="1497" t="s">
        <v>488</v>
      </c>
      <c r="B25" s="1497"/>
      <c r="C25" s="1497"/>
      <c r="D25" s="1497"/>
      <c r="E25" s="1497"/>
      <c r="F25" s="1497"/>
      <c r="G25" s="1497"/>
      <c r="H25" s="1497"/>
      <c r="I25" s="1497"/>
      <c r="J25" s="1497"/>
      <c r="K25" s="1497"/>
      <c r="L25" s="1035">
        <f>ROUND(SUM(L22:L24),4)</f>
        <v>0</v>
      </c>
    </row>
    <row r="26" spans="1:12" x14ac:dyDescent="0.2">
      <c r="A26" s="930"/>
      <c r="B26" s="930"/>
      <c r="C26" s="930"/>
      <c r="D26" s="930"/>
      <c r="E26" s="930"/>
      <c r="F26" s="930"/>
      <c r="G26" s="930"/>
      <c r="H26" s="1023"/>
      <c r="I26" s="1023"/>
      <c r="J26" s="1023"/>
      <c r="K26" s="1023"/>
      <c r="L26" s="1023"/>
    </row>
    <row r="27" spans="1:12" ht="13.9" customHeight="1" x14ac:dyDescent="0.2">
      <c r="A27" s="1462" t="s">
        <v>447</v>
      </c>
      <c r="B27" s="1462"/>
      <c r="C27" s="1462"/>
      <c r="D27" s="1462"/>
      <c r="E27" s="1462"/>
      <c r="F27" s="1462"/>
      <c r="G27" s="1462"/>
      <c r="H27" s="1462"/>
      <c r="I27" s="1462"/>
      <c r="J27" s="1460" t="s">
        <v>166</v>
      </c>
      <c r="K27" s="1452" t="s">
        <v>489</v>
      </c>
      <c r="L27" s="1076" t="s">
        <v>449</v>
      </c>
    </row>
    <row r="28" spans="1:12" x14ac:dyDescent="0.2">
      <c r="A28" s="1462"/>
      <c r="B28" s="1462"/>
      <c r="C28" s="1462"/>
      <c r="D28" s="1462"/>
      <c r="E28" s="1462"/>
      <c r="F28" s="1462"/>
      <c r="G28" s="1462"/>
      <c r="H28" s="1462"/>
      <c r="I28" s="1462"/>
      <c r="J28" s="1460"/>
      <c r="K28" s="1452"/>
      <c r="L28" s="1026" t="s">
        <v>487</v>
      </c>
    </row>
    <row r="29" spans="1:12" x14ac:dyDescent="0.2">
      <c r="A29" s="1043"/>
      <c r="B29" s="1130"/>
      <c r="C29" s="979"/>
      <c r="D29" s="942"/>
      <c r="E29" s="942"/>
      <c r="F29" s="942"/>
      <c r="G29" s="910"/>
      <c r="H29" s="979"/>
      <c r="I29" s="1092"/>
      <c r="J29" s="1080"/>
      <c r="K29" s="1132"/>
      <c r="L29" s="1243">
        <f>ROUND(J29*K29,4)</f>
        <v>0</v>
      </c>
    </row>
    <row r="30" spans="1:12" x14ac:dyDescent="0.2">
      <c r="A30" s="1043"/>
      <c r="B30" s="1130"/>
      <c r="C30" s="979"/>
      <c r="D30" s="942"/>
      <c r="E30" s="942"/>
      <c r="F30" s="942"/>
      <c r="G30" s="910"/>
      <c r="H30" s="979"/>
      <c r="I30" s="1092"/>
      <c r="J30" s="1080"/>
      <c r="K30" s="1020"/>
      <c r="L30" s="1243">
        <f>ROUND(J30*K30,4)</f>
        <v>0</v>
      </c>
    </row>
    <row r="31" spans="1:12" x14ac:dyDescent="0.2">
      <c r="A31" s="1093"/>
      <c r="B31" s="1094"/>
      <c r="C31" s="1083"/>
      <c r="D31" s="1083"/>
      <c r="E31" s="1083"/>
      <c r="F31" s="1083"/>
      <c r="G31" s="905"/>
      <c r="H31" s="1077"/>
      <c r="I31" s="1095"/>
      <c r="J31" s="1085"/>
      <c r="K31" s="1020"/>
      <c r="L31" s="1243">
        <f>ROUND(J31*K31,4)</f>
        <v>0</v>
      </c>
    </row>
    <row r="32" spans="1:12" x14ac:dyDescent="0.2">
      <c r="A32" s="1497" t="s">
        <v>490</v>
      </c>
      <c r="B32" s="1497"/>
      <c r="C32" s="1497"/>
      <c r="D32" s="1497"/>
      <c r="E32" s="1497"/>
      <c r="F32" s="1497"/>
      <c r="G32" s="1497"/>
      <c r="H32" s="1497"/>
      <c r="I32" s="1497"/>
      <c r="J32" s="1497"/>
      <c r="K32" s="1497"/>
      <c r="L32" s="1035">
        <f>ROUND(SUM(L29:L31),4)</f>
        <v>0</v>
      </c>
    </row>
    <row r="33" spans="1:12" x14ac:dyDescent="0.2">
      <c r="A33" s="930"/>
      <c r="B33" s="930"/>
      <c r="C33" s="930"/>
      <c r="D33" s="930"/>
      <c r="E33" s="930"/>
      <c r="F33" s="930"/>
      <c r="G33" s="930"/>
      <c r="H33" s="930"/>
      <c r="I33" s="930"/>
      <c r="J33" s="1023"/>
      <c r="K33" s="1023"/>
      <c r="L33" s="1099"/>
    </row>
    <row r="34" spans="1:12" x14ac:dyDescent="0.2">
      <c r="A34" s="930"/>
      <c r="B34" s="930"/>
      <c r="C34" s="930"/>
      <c r="D34" s="930"/>
      <c r="E34" s="930"/>
      <c r="F34" s="930"/>
      <c r="G34" s="930"/>
      <c r="H34" s="930"/>
      <c r="I34" s="930"/>
      <c r="J34" s="1023"/>
      <c r="K34" s="1100" t="s">
        <v>491</v>
      </c>
      <c r="L34" s="1101">
        <f>L25+L32</f>
        <v>0</v>
      </c>
    </row>
    <row r="35" spans="1:12" x14ac:dyDescent="0.2">
      <c r="A35" s="1102" t="s">
        <v>492</v>
      </c>
      <c r="B35" s="930"/>
      <c r="C35" s="930"/>
      <c r="D35" s="930"/>
      <c r="E35" s="930"/>
      <c r="F35" s="1264">
        <v>1</v>
      </c>
      <c r="G35" s="1257" t="str">
        <f>L18</f>
        <v xml:space="preserve">un </v>
      </c>
      <c r="H35" s="1102"/>
      <c r="I35" s="930"/>
      <c r="J35" s="1105"/>
      <c r="K35" s="1106" t="s">
        <v>493</v>
      </c>
      <c r="L35" s="1035">
        <f>ROUND(L34/F35,4)</f>
        <v>0</v>
      </c>
    </row>
    <row r="36" spans="1:12" x14ac:dyDescent="0.2">
      <c r="A36" s="1102"/>
      <c r="B36" s="930" t="s">
        <v>494</v>
      </c>
      <c r="C36" s="930"/>
      <c r="D36" s="930"/>
      <c r="E36" s="930"/>
      <c r="F36" s="1103"/>
      <c r="G36" s="1104"/>
      <c r="H36" s="1102"/>
      <c r="I36" s="930"/>
      <c r="J36" s="1105"/>
      <c r="K36" s="1100" t="s">
        <v>495</v>
      </c>
      <c r="L36" s="1035">
        <f>ROUND(L35*F36,4)</f>
        <v>0</v>
      </c>
    </row>
    <row r="37" spans="1:12" x14ac:dyDescent="0.2">
      <c r="A37" s="1102"/>
      <c r="B37" s="930" t="s">
        <v>496</v>
      </c>
      <c r="C37" s="930"/>
      <c r="D37" s="930"/>
      <c r="E37" s="930"/>
      <c r="F37" s="1202"/>
      <c r="G37" s="1104"/>
      <c r="H37" s="1105"/>
      <c r="I37" s="1107"/>
      <c r="J37" s="1023"/>
      <c r="K37" s="1100" t="s">
        <v>497</v>
      </c>
      <c r="L37" s="1035">
        <f>ROUND(L35*F37,4)</f>
        <v>0</v>
      </c>
    </row>
    <row r="38" spans="1:12" x14ac:dyDescent="0.2">
      <c r="A38" s="930"/>
      <c r="B38" s="930"/>
      <c r="C38" s="930"/>
      <c r="D38" s="930"/>
      <c r="E38" s="930"/>
      <c r="F38" s="930"/>
      <c r="G38" s="930"/>
      <c r="H38" s="930"/>
      <c r="I38" s="930"/>
      <c r="J38" s="1023"/>
      <c r="K38" s="1023"/>
      <c r="L38" s="1099"/>
    </row>
    <row r="39" spans="1:12" x14ac:dyDescent="0.2">
      <c r="A39" s="1462" t="s">
        <v>498</v>
      </c>
      <c r="B39" s="1462"/>
      <c r="C39" s="1462"/>
      <c r="D39" s="1462"/>
      <c r="E39" s="1462"/>
      <c r="F39" s="1462"/>
      <c r="G39" s="1462"/>
      <c r="H39" s="1462"/>
      <c r="I39" s="1456" t="s">
        <v>499</v>
      </c>
      <c r="J39" s="1456"/>
      <c r="K39" s="1456"/>
      <c r="L39" s="1108">
        <f>ROUND(SUM(L35:L38),4)</f>
        <v>0</v>
      </c>
    </row>
    <row r="40" spans="1:12" x14ac:dyDescent="0.2">
      <c r="A40" s="910"/>
      <c r="B40" s="910"/>
      <c r="C40" s="910"/>
      <c r="D40" s="910"/>
      <c r="E40" s="910"/>
      <c r="F40" s="910"/>
      <c r="G40" s="1109"/>
      <c r="H40" s="1109"/>
      <c r="I40" s="933"/>
      <c r="J40" s="933"/>
      <c r="K40" s="933"/>
      <c r="L40" s="910"/>
    </row>
    <row r="41" spans="1:12" x14ac:dyDescent="0.2">
      <c r="A41" s="1462" t="s">
        <v>500</v>
      </c>
      <c r="B41" s="1462"/>
      <c r="C41" s="1462"/>
      <c r="D41" s="1462"/>
      <c r="E41" s="1462"/>
      <c r="F41" s="1462"/>
      <c r="G41" s="1462"/>
      <c r="H41" s="1460" t="s">
        <v>166</v>
      </c>
      <c r="I41" s="1460"/>
      <c r="J41" s="1460" t="s">
        <v>165</v>
      </c>
      <c r="K41" s="1076" t="s">
        <v>501</v>
      </c>
      <c r="L41" s="1076" t="s">
        <v>484</v>
      </c>
    </row>
    <row r="42" spans="1:12" x14ac:dyDescent="0.2">
      <c r="A42" s="1462"/>
      <c r="B42" s="1462"/>
      <c r="C42" s="1462"/>
      <c r="D42" s="1462"/>
      <c r="E42" s="1462"/>
      <c r="F42" s="1462"/>
      <c r="G42" s="1462"/>
      <c r="H42" s="1460"/>
      <c r="I42" s="1460"/>
      <c r="J42" s="1460"/>
      <c r="K42" s="1110" t="s">
        <v>451</v>
      </c>
      <c r="L42" s="1026" t="s">
        <v>451</v>
      </c>
    </row>
    <row r="43" spans="1:12" ht="24.75" customHeight="1" x14ac:dyDescent="0.2">
      <c r="A43" s="1533" t="s">
        <v>760</v>
      </c>
      <c r="B43" s="1533"/>
      <c r="C43" s="1049" t="s">
        <v>442</v>
      </c>
      <c r="D43" s="1536" t="s">
        <v>580</v>
      </c>
      <c r="E43" s="1536"/>
      <c r="F43" s="1536"/>
      <c r="G43" s="1536"/>
      <c r="H43" s="1521">
        <v>33.75</v>
      </c>
      <c r="I43" s="1521"/>
      <c r="J43" s="1116" t="s">
        <v>581</v>
      </c>
      <c r="K43" s="1020">
        <v>1.3088</v>
      </c>
      <c r="L43" s="1245">
        <f>ROUND(K43*H43,4)</f>
        <v>44.171999999999997</v>
      </c>
    </row>
    <row r="44" spans="1:12" ht="25.5" customHeight="1" x14ac:dyDescent="0.2">
      <c r="A44" s="1537" t="s">
        <v>761</v>
      </c>
      <c r="B44" s="1537"/>
      <c r="C44" s="910" t="s">
        <v>442</v>
      </c>
      <c r="D44" s="1538" t="s">
        <v>587</v>
      </c>
      <c r="E44" s="1538"/>
      <c r="F44" s="1538"/>
      <c r="G44" s="1538"/>
      <c r="H44" s="1495">
        <f>H43</f>
        <v>33.75</v>
      </c>
      <c r="I44" s="1495"/>
      <c r="J44" s="1116" t="s">
        <v>581</v>
      </c>
      <c r="K44" s="1020">
        <v>3.2172999999999998</v>
      </c>
      <c r="L44" s="1138">
        <f>ROUND(K44*H44,4)</f>
        <v>108.5839</v>
      </c>
    </row>
    <row r="45" spans="1:12" x14ac:dyDescent="0.2">
      <c r="A45" s="1266"/>
      <c r="B45" s="1215"/>
      <c r="C45" s="961"/>
      <c r="D45" s="1215"/>
      <c r="E45" s="1215"/>
      <c r="F45" s="1215"/>
      <c r="G45" s="1265"/>
      <c r="H45" s="1495"/>
      <c r="I45" s="1495"/>
      <c r="J45" s="1116"/>
      <c r="K45" s="1020"/>
      <c r="L45" s="1138">
        <f>ROUND(K45*H45,4)</f>
        <v>0</v>
      </c>
    </row>
    <row r="46" spans="1:12" x14ac:dyDescent="0.2">
      <c r="A46" s="1266"/>
      <c r="B46" s="1215"/>
      <c r="C46" s="961"/>
      <c r="D46" s="1267"/>
      <c r="E46" s="1267"/>
      <c r="F46" s="1267"/>
      <c r="G46" s="1268"/>
      <c r="H46" s="1512"/>
      <c r="I46" s="1512"/>
      <c r="J46" s="1116"/>
      <c r="K46" s="1020"/>
      <c r="L46" s="1138">
        <f>ROUND(K46*H46,4)</f>
        <v>0</v>
      </c>
    </row>
    <row r="47" spans="1:12" x14ac:dyDescent="0.2">
      <c r="A47" s="1454" t="s">
        <v>502</v>
      </c>
      <c r="B47" s="1454"/>
      <c r="C47" s="1454"/>
      <c r="D47" s="1454"/>
      <c r="E47" s="1454"/>
      <c r="F47" s="1454"/>
      <c r="G47" s="1454"/>
      <c r="H47" s="1454"/>
      <c r="I47" s="1454"/>
      <c r="J47" s="1454"/>
      <c r="K47" s="1454"/>
      <c r="L47" s="1108">
        <f>ROUND(SUM(L43:L46),4)</f>
        <v>152.7559</v>
      </c>
    </row>
    <row r="48" spans="1:12" x14ac:dyDescent="0.2">
      <c r="A48" s="932"/>
      <c r="B48" s="932"/>
      <c r="C48" s="932"/>
      <c r="D48" s="932"/>
      <c r="E48" s="932"/>
      <c r="F48" s="932"/>
      <c r="G48" s="932"/>
      <c r="H48" s="932"/>
      <c r="I48" s="932"/>
      <c r="J48" s="910"/>
      <c r="K48" s="1117"/>
      <c r="L48" s="1118"/>
    </row>
    <row r="49" spans="1:12" ht="13.9" customHeight="1" x14ac:dyDescent="0.2">
      <c r="A49" s="1462" t="s">
        <v>503</v>
      </c>
      <c r="B49" s="1462"/>
      <c r="C49" s="1462"/>
      <c r="D49" s="1462"/>
      <c r="E49" s="1462"/>
      <c r="F49" s="1462"/>
      <c r="G49" s="1452" t="s">
        <v>504</v>
      </c>
      <c r="H49" s="1460" t="s">
        <v>505</v>
      </c>
      <c r="I49" s="1460"/>
      <c r="J49" s="1460"/>
      <c r="K49" s="1460"/>
      <c r="L49" s="1460" t="s">
        <v>506</v>
      </c>
    </row>
    <row r="50" spans="1:12" x14ac:dyDescent="0.2">
      <c r="A50" s="1462"/>
      <c r="B50" s="1462"/>
      <c r="C50" s="1462"/>
      <c r="D50" s="1462"/>
      <c r="E50" s="1462"/>
      <c r="F50" s="1462"/>
      <c r="G50" s="1452"/>
      <c r="H50" s="944" t="s">
        <v>112</v>
      </c>
      <c r="I50" s="1095" t="s">
        <v>380</v>
      </c>
      <c r="J50" s="1026" t="s">
        <v>383</v>
      </c>
      <c r="K50" s="1110" t="s">
        <v>385</v>
      </c>
      <c r="L50" s="1460"/>
    </row>
    <row r="51" spans="1:12" x14ac:dyDescent="0.2">
      <c r="A51" s="1462"/>
      <c r="B51" s="1462"/>
      <c r="C51" s="1462"/>
      <c r="D51" s="1462"/>
      <c r="E51" s="1462"/>
      <c r="F51" s="1462"/>
      <c r="G51" s="1452"/>
      <c r="H51" s="943" t="s">
        <v>507</v>
      </c>
      <c r="I51" s="1119"/>
      <c r="J51" s="1119"/>
      <c r="K51" s="1119"/>
      <c r="L51" s="1460"/>
    </row>
    <row r="52" spans="1:12" x14ac:dyDescent="0.2">
      <c r="A52" s="1529"/>
      <c r="B52" s="1530"/>
      <c r="C52" s="1490" t="s">
        <v>442</v>
      </c>
      <c r="D52" s="1531"/>
      <c r="E52" s="1531"/>
      <c r="F52" s="1532"/>
      <c r="G52" s="1493"/>
      <c r="H52" s="1120" t="s">
        <v>508</v>
      </c>
      <c r="I52" s="1269"/>
      <c r="J52" s="1270"/>
      <c r="K52" s="1271"/>
      <c r="L52" s="1494">
        <f>ROUND(G52*($I$51*I53+$J$51*J53+$K$51*K53),4)</f>
        <v>0</v>
      </c>
    </row>
    <row r="53" spans="1:12" x14ac:dyDescent="0.2">
      <c r="A53" s="1529"/>
      <c r="B53" s="1530"/>
      <c r="C53" s="1490"/>
      <c r="D53" s="1531"/>
      <c r="E53" s="1531"/>
      <c r="F53" s="1532"/>
      <c r="G53" s="1493"/>
      <c r="H53" s="1122" t="s">
        <v>509</v>
      </c>
      <c r="I53" s="1272"/>
      <c r="J53" s="1273"/>
      <c r="K53" s="1274"/>
      <c r="L53" s="1494"/>
    </row>
    <row r="54" spans="1:12" x14ac:dyDescent="0.2">
      <c r="A54" s="1454" t="s">
        <v>510</v>
      </c>
      <c r="B54" s="1454"/>
      <c r="C54" s="1454"/>
      <c r="D54" s="1454"/>
      <c r="E54" s="1454"/>
      <c r="F54" s="1454"/>
      <c r="G54" s="1454"/>
      <c r="H54" s="1454"/>
      <c r="I54" s="1454"/>
      <c r="J54" s="1454"/>
      <c r="K54" s="1454"/>
      <c r="L54" s="1025">
        <f>ROUND(SUM(L52:L53),4)</f>
        <v>0</v>
      </c>
    </row>
    <row r="55" spans="1:12" x14ac:dyDescent="0.2">
      <c r="A55" s="1049"/>
      <c r="B55" s="1049"/>
      <c r="C55" s="1049"/>
      <c r="D55" s="1049"/>
      <c r="E55" s="1049"/>
      <c r="F55" s="1049"/>
      <c r="G55" s="932"/>
      <c r="H55" s="1050"/>
      <c r="I55" s="1050"/>
      <c r="J55" s="1051"/>
      <c r="K55" s="1052"/>
      <c r="L55" s="1053"/>
    </row>
    <row r="56" spans="1:12" x14ac:dyDescent="0.2">
      <c r="A56" s="1454" t="s">
        <v>460</v>
      </c>
      <c r="B56" s="1454"/>
      <c r="C56" s="1454"/>
      <c r="D56" s="1454"/>
      <c r="E56" s="1454"/>
      <c r="F56" s="1454"/>
      <c r="G56" s="1454"/>
      <c r="H56" s="1454"/>
      <c r="I56" s="1454"/>
      <c r="J56" s="1454"/>
      <c r="K56" s="1454"/>
      <c r="L56" s="1025">
        <f>ROUND(L39+L47+L54,4)</f>
        <v>152.7559</v>
      </c>
    </row>
    <row r="57" spans="1:12" x14ac:dyDescent="0.2">
      <c r="A57" s="1455" t="s">
        <v>461</v>
      </c>
      <c r="B57" s="1455"/>
      <c r="C57" s="1455"/>
      <c r="D57" s="1455"/>
      <c r="E57" s="1455"/>
      <c r="F57" s="1455"/>
      <c r="G57" s="1455"/>
      <c r="H57" s="1455"/>
      <c r="I57" s="1455"/>
      <c r="J57" s="1455"/>
      <c r="K57" s="1055">
        <v>0.25569999999999998</v>
      </c>
      <c r="L57" s="1056">
        <f>ROUND(L56*K57,4)</f>
        <v>39.059699999999999</v>
      </c>
    </row>
    <row r="58" spans="1:12" x14ac:dyDescent="0.2">
      <c r="A58" s="1456" t="s">
        <v>462</v>
      </c>
      <c r="B58" s="1456"/>
      <c r="C58" s="1456"/>
      <c r="D58" s="1456"/>
      <c r="E58" s="1456"/>
      <c r="F58" s="1456"/>
      <c r="G58" s="1456"/>
      <c r="H58" s="1456"/>
      <c r="I58" s="1456"/>
      <c r="J58" s="1456"/>
      <c r="K58" s="1456"/>
      <c r="L58" s="1238">
        <f>ROUND(L56+L57,2)</f>
        <v>191.82</v>
      </c>
    </row>
    <row r="59" spans="1:12" x14ac:dyDescent="0.2">
      <c r="A59" s="1058"/>
      <c r="B59" s="1058"/>
      <c r="C59" s="1058"/>
      <c r="D59" s="1058"/>
      <c r="E59" s="1058"/>
      <c r="F59" s="1058"/>
      <c r="G59" s="1058"/>
      <c r="H59" s="1058"/>
      <c r="I59" s="1058"/>
      <c r="J59" s="1058"/>
      <c r="K59" s="1058"/>
      <c r="L59" s="1058"/>
    </row>
    <row r="60" spans="1:12" ht="25.5" customHeight="1" x14ac:dyDescent="0.2">
      <c r="A60" s="1059" t="s">
        <v>463</v>
      </c>
      <c r="B60" s="1060"/>
      <c r="C60" s="1535" t="s">
        <v>600</v>
      </c>
      <c r="D60" s="1535"/>
      <c r="E60" s="1535"/>
      <c r="F60" s="1535"/>
      <c r="G60" s="1535"/>
      <c r="H60" s="1535"/>
      <c r="I60" s="1535"/>
      <c r="J60" s="1535"/>
      <c r="K60" s="1535"/>
      <c r="L60" s="1535"/>
    </row>
    <row r="61" spans="1:12" ht="13.9" customHeight="1" x14ac:dyDescent="0.2">
      <c r="A61" s="1210"/>
      <c r="B61" s="1184"/>
      <c r="C61" s="1534" t="s">
        <v>598</v>
      </c>
      <c r="D61" s="1534"/>
      <c r="E61" s="1534"/>
      <c r="F61" s="1534"/>
      <c r="G61" s="1534"/>
      <c r="H61" s="1534"/>
      <c r="I61" s="1534"/>
      <c r="J61" s="1534"/>
      <c r="K61" s="1534"/>
      <c r="L61" s="1534"/>
    </row>
    <row r="62" spans="1:12" x14ac:dyDescent="0.2">
      <c r="A62" s="1071"/>
      <c r="B62" s="1129"/>
      <c r="C62" s="1276"/>
      <c r="D62" s="1276"/>
      <c r="E62" s="1276"/>
      <c r="F62" s="1276"/>
      <c r="G62" s="1276"/>
      <c r="H62" s="1276"/>
      <c r="I62" s="1276"/>
      <c r="J62" s="1276"/>
      <c r="K62" s="1276"/>
      <c r="L62" s="1277"/>
    </row>
  </sheetData>
  <mergeCells count="52">
    <mergeCell ref="A1:L1"/>
    <mergeCell ref="A2:L2"/>
    <mergeCell ref="A3:L3"/>
    <mergeCell ref="A4:L4"/>
    <mergeCell ref="A5:K5"/>
    <mergeCell ref="A6:K6"/>
    <mergeCell ref="A7:K7"/>
    <mergeCell ref="L7:L8"/>
    <mergeCell ref="A10:L10"/>
    <mergeCell ref="A12:D12"/>
    <mergeCell ref="A15:L16"/>
    <mergeCell ref="E18:J18"/>
    <mergeCell ref="A20:F21"/>
    <mergeCell ref="G20:G21"/>
    <mergeCell ref="H20:I20"/>
    <mergeCell ref="J20:K20"/>
    <mergeCell ref="A25:K25"/>
    <mergeCell ref="A27:I28"/>
    <mergeCell ref="J27:J28"/>
    <mergeCell ref="K27:K28"/>
    <mergeCell ref="A32:K32"/>
    <mergeCell ref="A39:H39"/>
    <mergeCell ref="I39:K39"/>
    <mergeCell ref="A41:G42"/>
    <mergeCell ref="H41:I42"/>
    <mergeCell ref="J41:J42"/>
    <mergeCell ref="A43:B43"/>
    <mergeCell ref="D43:G43"/>
    <mergeCell ref="H43:I43"/>
    <mergeCell ref="A44:B44"/>
    <mergeCell ref="D44:G44"/>
    <mergeCell ref="H44:I44"/>
    <mergeCell ref="H45:I45"/>
    <mergeCell ref="H46:I46"/>
    <mergeCell ref="A47:K47"/>
    <mergeCell ref="A49:F51"/>
    <mergeCell ref="G49:G51"/>
    <mergeCell ref="H49:K49"/>
    <mergeCell ref="L49:L51"/>
    <mergeCell ref="A52:A53"/>
    <mergeCell ref="B52:B53"/>
    <mergeCell ref="C52:C53"/>
    <mergeCell ref="D52:E53"/>
    <mergeCell ref="F52:F53"/>
    <mergeCell ref="G52:G53"/>
    <mergeCell ref="L52:L53"/>
    <mergeCell ref="C61:L61"/>
    <mergeCell ref="A54:K54"/>
    <mergeCell ref="A56:K56"/>
    <mergeCell ref="A57:J57"/>
    <mergeCell ref="A58:K58"/>
    <mergeCell ref="C60:L60"/>
  </mergeCells>
  <dataValidations count="1">
    <dataValidation allowBlank="1" showInputMessage="1" showErrorMessage="1" prompt="Clique duas vezes sobre o número do item para ser direcionado à Planilha Orçamentária." sqref="D18" xr:uid="{00000000-0002-0000-1600-000000000000}">
      <formula1>0</formula1>
      <formula2>0</formula2>
    </dataValidation>
  </dataValidations>
  <printOptions horizontalCentered="1" verticalCentered="1"/>
  <pageMargins left="0.51180555555555496" right="0.51180555555555496" top="0.78749999999999998" bottom="0.78749999999999998" header="0.51180555555555496" footer="0.51180555555555496"/>
  <pageSetup paperSize="9" scale="75" firstPageNumber="0"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L67"/>
  <sheetViews>
    <sheetView topLeftCell="A49" zoomScale="83" zoomScaleNormal="83" workbookViewId="0">
      <selection activeCell="P139" sqref="P139"/>
    </sheetView>
  </sheetViews>
  <sheetFormatPr defaultRowHeight="15" x14ac:dyDescent="0.2"/>
  <cols>
    <col min="1" max="2" width="7.6640625" style="902" customWidth="1"/>
    <col min="3" max="3" width="1.8828125" style="902" customWidth="1"/>
    <col min="4" max="4" width="3.765625" style="902" customWidth="1"/>
    <col min="5" max="5" width="23.67578125" style="902" customWidth="1"/>
    <col min="6" max="6" width="12.64453125" style="902" customWidth="1"/>
    <col min="7" max="7" width="8.7421875" style="902" customWidth="1"/>
    <col min="8" max="8" width="9.28125" style="902" customWidth="1"/>
    <col min="9" max="11" width="8.7421875" style="902" customWidth="1"/>
    <col min="12" max="12" width="10.76171875" style="902" customWidth="1"/>
    <col min="13" max="1025" width="8.7421875" customWidth="1"/>
  </cols>
  <sheetData>
    <row r="1" spans="1:12" x14ac:dyDescent="0.2">
      <c r="A1" s="1474"/>
      <c r="B1" s="1474"/>
      <c r="C1" s="1474"/>
      <c r="D1" s="1474"/>
      <c r="E1" s="1474"/>
      <c r="F1" s="1474"/>
      <c r="G1" s="1474"/>
      <c r="H1" s="1474"/>
      <c r="I1" s="1474"/>
      <c r="J1" s="1474"/>
      <c r="K1" s="1474"/>
      <c r="L1" s="1474"/>
    </row>
    <row r="2" spans="1:12" x14ac:dyDescent="0.2">
      <c r="A2" s="1475" t="s">
        <v>629</v>
      </c>
      <c r="B2" s="1475"/>
      <c r="C2" s="1475"/>
      <c r="D2" s="1475"/>
      <c r="E2" s="1475"/>
      <c r="F2" s="1475"/>
      <c r="G2" s="1475"/>
      <c r="H2" s="1475"/>
      <c r="I2" s="1475"/>
      <c r="J2" s="1475"/>
      <c r="K2" s="1475"/>
      <c r="L2" s="1475"/>
    </row>
    <row r="3" spans="1:12" x14ac:dyDescent="0.2">
      <c r="A3" s="1474"/>
      <c r="B3" s="1474"/>
      <c r="C3" s="1474"/>
      <c r="D3" s="1474"/>
      <c r="E3" s="1474"/>
      <c r="F3" s="1474"/>
      <c r="G3" s="1474"/>
      <c r="H3" s="1474"/>
      <c r="I3" s="1474"/>
      <c r="J3" s="1474"/>
      <c r="K3" s="1474"/>
      <c r="L3" s="1474"/>
    </row>
    <row r="4" spans="1:12" x14ac:dyDescent="0.2">
      <c r="A4" s="1476"/>
      <c r="B4" s="1476"/>
      <c r="C4" s="1476"/>
      <c r="D4" s="1476"/>
      <c r="E4" s="1476"/>
      <c r="F4" s="1476"/>
      <c r="G4" s="1476"/>
      <c r="H4" s="1476"/>
      <c r="I4" s="1476"/>
      <c r="J4" s="1476"/>
      <c r="K4" s="1476"/>
      <c r="L4" s="1476"/>
    </row>
    <row r="5" spans="1:12" x14ac:dyDescent="0.2">
      <c r="A5" s="1477"/>
      <c r="B5" s="1477"/>
      <c r="C5" s="1477"/>
      <c r="D5" s="1477"/>
      <c r="E5" s="1477"/>
      <c r="F5" s="1477"/>
      <c r="G5" s="1477"/>
      <c r="H5" s="1477"/>
      <c r="I5" s="1477"/>
      <c r="J5" s="1477"/>
      <c r="K5" s="1477"/>
      <c r="L5" s="903" t="s">
        <v>419</v>
      </c>
    </row>
    <row r="6" spans="1:12" x14ac:dyDescent="0.2">
      <c r="A6" s="1469"/>
      <c r="B6" s="1469"/>
      <c r="C6" s="1469"/>
      <c r="D6" s="1469"/>
      <c r="E6" s="1469"/>
      <c r="F6" s="1469"/>
      <c r="G6" s="1469"/>
      <c r="H6" s="1469"/>
      <c r="I6" s="1469"/>
      <c r="J6" s="1469"/>
      <c r="K6" s="1469"/>
      <c r="L6" s="1075"/>
    </row>
    <row r="7" spans="1:12" ht="13.9" customHeight="1" x14ac:dyDescent="0.2">
      <c r="A7" s="1469"/>
      <c r="B7" s="1469"/>
      <c r="C7" s="1469"/>
      <c r="D7" s="1469"/>
      <c r="E7" s="1469"/>
      <c r="F7" s="1469"/>
      <c r="G7" s="1469"/>
      <c r="H7" s="1469"/>
      <c r="I7" s="1469"/>
      <c r="J7" s="1469"/>
      <c r="K7" s="1469"/>
      <c r="L7" s="1470" t="s">
        <v>201</v>
      </c>
    </row>
    <row r="8" spans="1:12" x14ac:dyDescent="0.2">
      <c r="A8" s="904"/>
      <c r="B8" s="905"/>
      <c r="C8" s="906"/>
      <c r="D8" s="907"/>
      <c r="E8" s="908"/>
      <c r="F8" s="906"/>
      <c r="G8" s="906"/>
      <c r="H8" s="906"/>
      <c r="I8" s="906"/>
      <c r="J8" s="906"/>
      <c r="K8" s="909"/>
      <c r="L8" s="1470"/>
    </row>
    <row r="9" spans="1:12" x14ac:dyDescent="0.2">
      <c r="A9" s="910"/>
      <c r="B9" s="910"/>
      <c r="C9" s="911"/>
      <c r="D9" s="912"/>
      <c r="E9" s="912"/>
      <c r="F9" s="913"/>
      <c r="G9" s="913"/>
      <c r="H9" s="913"/>
      <c r="I9" s="913"/>
      <c r="J9" s="913"/>
      <c r="K9" s="913"/>
      <c r="L9" s="914"/>
    </row>
    <row r="10" spans="1:12" x14ac:dyDescent="0.2">
      <c r="A10" s="1471"/>
      <c r="B10" s="1471"/>
      <c r="C10" s="1471"/>
      <c r="D10" s="1471"/>
      <c r="E10" s="1471"/>
      <c r="F10" s="1471"/>
      <c r="G10" s="1471"/>
      <c r="H10" s="1471"/>
      <c r="I10" s="1471"/>
      <c r="J10" s="1471"/>
      <c r="K10" s="1471"/>
      <c r="L10" s="1471"/>
    </row>
    <row r="11" spans="1:12" x14ac:dyDescent="0.2">
      <c r="A11" s="915"/>
      <c r="B11" s="912"/>
      <c r="C11" s="911"/>
      <c r="D11" s="912"/>
      <c r="E11" s="911"/>
      <c r="F11" s="911"/>
      <c r="G11" s="911"/>
      <c r="H11" s="911"/>
      <c r="I11" s="911"/>
      <c r="J11" s="911"/>
      <c r="K11" s="911"/>
      <c r="L11" s="916"/>
    </row>
    <row r="12" spans="1:12" x14ac:dyDescent="0.2">
      <c r="A12" s="1472" t="s">
        <v>421</v>
      </c>
      <c r="B12" s="1472"/>
      <c r="C12" s="1472"/>
      <c r="D12" s="1472"/>
      <c r="E12" s="1542" t="s">
        <v>648</v>
      </c>
      <c r="F12" s="1542"/>
      <c r="G12" s="1542"/>
      <c r="H12" s="1542"/>
      <c r="I12" s="1542"/>
      <c r="J12" s="1542"/>
      <c r="K12" s="1542"/>
      <c r="L12" s="1542"/>
    </row>
    <row r="13" spans="1:12" x14ac:dyDescent="0.2">
      <c r="A13" s="920"/>
      <c r="B13" s="907"/>
      <c r="C13" s="921"/>
      <c r="D13" s="907"/>
      <c r="E13" s="907"/>
      <c r="F13" s="906"/>
      <c r="G13" s="906"/>
      <c r="H13" s="906"/>
      <c r="I13" s="906"/>
      <c r="J13" s="906"/>
      <c r="K13" s="906"/>
      <c r="L13" s="922"/>
    </row>
    <row r="14" spans="1:12" x14ac:dyDescent="0.2">
      <c r="A14" s="913"/>
      <c r="B14" s="913"/>
      <c r="C14" s="913"/>
      <c r="D14" s="913"/>
      <c r="E14" s="913"/>
      <c r="F14" s="913"/>
      <c r="G14" s="913"/>
      <c r="H14" s="913"/>
      <c r="I14" s="913"/>
      <c r="J14" s="913"/>
      <c r="K14" s="913"/>
      <c r="L14" s="914"/>
    </row>
    <row r="15" spans="1:12" x14ac:dyDescent="0.2">
      <c r="A15" s="1473" t="s">
        <v>422</v>
      </c>
      <c r="B15" s="1473"/>
      <c r="C15" s="1473"/>
      <c r="D15" s="1473"/>
      <c r="E15" s="1473"/>
      <c r="F15" s="1473"/>
      <c r="G15" s="1473"/>
      <c r="H15" s="1473"/>
      <c r="I15" s="1473"/>
      <c r="J15" s="1473"/>
      <c r="K15" s="1473"/>
      <c r="L15" s="1473"/>
    </row>
    <row r="16" spans="1:12" x14ac:dyDescent="0.2">
      <c r="A16" s="1473"/>
      <c r="B16" s="1473"/>
      <c r="C16" s="1473"/>
      <c r="D16" s="1473"/>
      <c r="E16" s="1473"/>
      <c r="F16" s="1473"/>
      <c r="G16" s="1473"/>
      <c r="H16" s="1473"/>
      <c r="I16" s="1473"/>
      <c r="J16" s="1473"/>
      <c r="K16" s="1473"/>
      <c r="L16" s="1473"/>
    </row>
    <row r="17" spans="1:12" x14ac:dyDescent="0.2">
      <c r="A17" s="923"/>
      <c r="B17" s="923"/>
      <c r="C17" s="923"/>
      <c r="D17" s="923"/>
      <c r="E17" s="923"/>
      <c r="F17" s="923"/>
      <c r="G17" s="923"/>
      <c r="H17" s="923"/>
      <c r="I17" s="923"/>
      <c r="J17" s="923"/>
      <c r="K17" s="923"/>
      <c r="L17" s="923"/>
    </row>
    <row r="18" spans="1:12" ht="13.9" customHeight="1" x14ac:dyDescent="0.2">
      <c r="A18" s="924" t="s">
        <v>423</v>
      </c>
      <c r="B18" s="925"/>
      <c r="C18" s="925"/>
      <c r="D18" s="926" t="s">
        <v>201</v>
      </c>
      <c r="E18" s="1515" t="s">
        <v>601</v>
      </c>
      <c r="F18" s="1515"/>
      <c r="G18" s="1515"/>
      <c r="H18" s="1515"/>
      <c r="I18" s="1515"/>
      <c r="J18" s="1515"/>
      <c r="K18" s="928" t="s">
        <v>425</v>
      </c>
      <c r="L18" s="929" t="s">
        <v>135</v>
      </c>
    </row>
    <row r="19" spans="1:12" x14ac:dyDescent="0.2">
      <c r="A19" s="910"/>
      <c r="B19" s="910"/>
      <c r="C19" s="910"/>
      <c r="D19" s="910"/>
      <c r="E19" s="910"/>
      <c r="F19" s="910"/>
      <c r="G19" s="910"/>
      <c r="H19" s="910"/>
      <c r="I19" s="910"/>
      <c r="J19" s="910"/>
      <c r="K19" s="910"/>
      <c r="L19" s="910"/>
    </row>
    <row r="20" spans="1:12" x14ac:dyDescent="0.2">
      <c r="A20" s="1462" t="s">
        <v>434</v>
      </c>
      <c r="B20" s="1462"/>
      <c r="C20" s="1462"/>
      <c r="D20" s="1462"/>
      <c r="E20" s="1462"/>
      <c r="F20" s="1462"/>
      <c r="G20" s="1460" t="s">
        <v>166</v>
      </c>
      <c r="H20" s="1460" t="s">
        <v>362</v>
      </c>
      <c r="I20" s="1460"/>
      <c r="J20" s="1500" t="s">
        <v>483</v>
      </c>
      <c r="K20" s="1500"/>
      <c r="L20" s="1076" t="s">
        <v>484</v>
      </c>
    </row>
    <row r="21" spans="1:12" x14ac:dyDescent="0.2">
      <c r="A21" s="1462"/>
      <c r="B21" s="1462"/>
      <c r="C21" s="1462"/>
      <c r="D21" s="1462"/>
      <c r="E21" s="1462"/>
      <c r="F21" s="1462"/>
      <c r="G21" s="1460"/>
      <c r="H21" s="943" t="s">
        <v>485</v>
      </c>
      <c r="I21" s="1077" t="s">
        <v>486</v>
      </c>
      <c r="J21" s="943" t="s">
        <v>485</v>
      </c>
      <c r="K21" s="1077" t="s">
        <v>486</v>
      </c>
      <c r="L21" s="1026" t="s">
        <v>487</v>
      </c>
    </row>
    <row r="22" spans="1:12" ht="21" customHeight="1" x14ac:dyDescent="0.2">
      <c r="A22" s="1043" t="s">
        <v>379</v>
      </c>
      <c r="B22" s="958" t="s">
        <v>643</v>
      </c>
      <c r="C22" s="979" t="s">
        <v>442</v>
      </c>
      <c r="D22" s="1520" t="s">
        <v>642</v>
      </c>
      <c r="E22" s="1520"/>
      <c r="F22" s="1520"/>
      <c r="G22" s="1112">
        <v>1</v>
      </c>
      <c r="H22" s="1116">
        <v>1</v>
      </c>
      <c r="I22" s="961">
        <v>0</v>
      </c>
      <c r="J22" s="986">
        <v>198.30850000000001</v>
      </c>
      <c r="K22" s="986">
        <v>85.256</v>
      </c>
      <c r="L22" s="986">
        <f>ROUND((G22*H22*J22)+(G22*I22*K22),4)</f>
        <v>198.30850000000001</v>
      </c>
    </row>
    <row r="23" spans="1:12" x14ac:dyDescent="0.2">
      <c r="A23" s="1043"/>
      <c r="B23" s="958"/>
      <c r="C23" s="979"/>
      <c r="D23" s="1479"/>
      <c r="E23" s="1479"/>
      <c r="F23" s="1479"/>
      <c r="G23" s="1112"/>
      <c r="H23" s="1116"/>
      <c r="I23" s="961"/>
      <c r="J23" s="986"/>
      <c r="K23" s="986"/>
      <c r="L23" s="986">
        <f>ROUND((G23*H23*J23)+(G23*I23*K23),4)</f>
        <v>0</v>
      </c>
    </row>
    <row r="24" spans="1:12" x14ac:dyDescent="0.2">
      <c r="A24" s="1153"/>
      <c r="B24" s="980"/>
      <c r="C24" s="979"/>
      <c r="D24" s="942"/>
      <c r="E24" s="942"/>
      <c r="F24" s="942"/>
      <c r="G24" s="1096"/>
      <c r="H24" s="1116"/>
      <c r="I24" s="961"/>
      <c r="J24" s="1098"/>
      <c r="K24" s="963"/>
      <c r="L24" s="986">
        <f>ROUND((G24*H24*J24)+(G24*I24*K24),4)</f>
        <v>0</v>
      </c>
    </row>
    <row r="25" spans="1:12" x14ac:dyDescent="0.2">
      <c r="A25" s="1497" t="s">
        <v>488</v>
      </c>
      <c r="B25" s="1497"/>
      <c r="C25" s="1497"/>
      <c r="D25" s="1497"/>
      <c r="E25" s="1497"/>
      <c r="F25" s="1497"/>
      <c r="G25" s="1497"/>
      <c r="H25" s="1497"/>
      <c r="I25" s="1497"/>
      <c r="J25" s="1497"/>
      <c r="K25" s="1497"/>
      <c r="L25" s="968">
        <f>ROUND(SUM(L22:L24),4)</f>
        <v>198.30850000000001</v>
      </c>
    </row>
    <row r="26" spans="1:12" x14ac:dyDescent="0.2">
      <c r="A26" s="930"/>
      <c r="B26" s="930"/>
      <c r="C26" s="930"/>
      <c r="D26" s="930"/>
      <c r="E26" s="930"/>
      <c r="F26" s="930"/>
      <c r="G26" s="930"/>
      <c r="H26" s="1023"/>
      <c r="I26" s="1023"/>
      <c r="J26" s="1023"/>
      <c r="K26" s="1023"/>
      <c r="L26" s="1023"/>
    </row>
    <row r="27" spans="1:12" ht="13.9" customHeight="1" x14ac:dyDescent="0.2">
      <c r="A27" s="1462" t="s">
        <v>447</v>
      </c>
      <c r="B27" s="1462"/>
      <c r="C27" s="1462"/>
      <c r="D27" s="1462"/>
      <c r="E27" s="1462"/>
      <c r="F27" s="1462"/>
      <c r="G27" s="1462"/>
      <c r="H27" s="1462"/>
      <c r="I27" s="1462"/>
      <c r="J27" s="1460" t="s">
        <v>166</v>
      </c>
      <c r="K27" s="1452" t="s">
        <v>489</v>
      </c>
      <c r="L27" s="1076" t="s">
        <v>449</v>
      </c>
    </row>
    <row r="28" spans="1:12" x14ac:dyDescent="0.2">
      <c r="A28" s="1462"/>
      <c r="B28" s="1462"/>
      <c r="C28" s="1462"/>
      <c r="D28" s="1462"/>
      <c r="E28" s="1462"/>
      <c r="F28" s="1462"/>
      <c r="G28" s="1462"/>
      <c r="H28" s="1462"/>
      <c r="I28" s="1462"/>
      <c r="J28" s="1460"/>
      <c r="K28" s="1452"/>
      <c r="L28" s="1026" t="s">
        <v>487</v>
      </c>
    </row>
    <row r="29" spans="1:12" x14ac:dyDescent="0.2">
      <c r="A29" s="1043" t="s">
        <v>379</v>
      </c>
      <c r="B29" s="1130" t="s">
        <v>707</v>
      </c>
      <c r="C29" s="979" t="s">
        <v>442</v>
      </c>
      <c r="D29" s="942" t="s">
        <v>708</v>
      </c>
      <c r="E29" s="942"/>
      <c r="F29" s="942"/>
      <c r="G29" s="942"/>
      <c r="H29" s="942"/>
      <c r="I29" s="1144"/>
      <c r="J29" s="1080">
        <v>1</v>
      </c>
      <c r="K29" s="1044">
        <v>19.5016</v>
      </c>
      <c r="L29" s="964">
        <f>ROUND(J29*K29,4)</f>
        <v>19.5016</v>
      </c>
    </row>
    <row r="30" spans="1:12" x14ac:dyDescent="0.2">
      <c r="A30" s="1149" t="s">
        <v>379</v>
      </c>
      <c r="B30" s="1150" t="s">
        <v>713</v>
      </c>
      <c r="C30" s="979" t="s">
        <v>442</v>
      </c>
      <c r="D30" s="1525" t="s">
        <v>714</v>
      </c>
      <c r="E30" s="1525"/>
      <c r="F30" s="1525"/>
      <c r="G30" s="1525"/>
      <c r="H30" s="1525"/>
      <c r="I30" s="1525"/>
      <c r="J30" s="1080">
        <v>3</v>
      </c>
      <c r="K30" s="1044">
        <v>15.3812</v>
      </c>
      <c r="L30" s="964">
        <f>ROUND(J30*K30,4)</f>
        <v>46.143599999999999</v>
      </c>
    </row>
    <row r="31" spans="1:12" x14ac:dyDescent="0.2">
      <c r="A31" s="1149"/>
      <c r="B31" s="1150"/>
      <c r="C31" s="979"/>
      <c r="D31" s="942"/>
      <c r="E31" s="942"/>
      <c r="F31" s="942"/>
      <c r="G31" s="942"/>
      <c r="H31" s="942"/>
      <c r="I31" s="1144"/>
      <c r="J31" s="1080"/>
      <c r="K31" s="1044"/>
      <c r="L31" s="964">
        <f>ROUND(J31*K31,4)</f>
        <v>0</v>
      </c>
    </row>
    <row r="32" spans="1:12" x14ac:dyDescent="0.2">
      <c r="A32" s="1082"/>
      <c r="B32" s="1083"/>
      <c r="C32" s="1083"/>
      <c r="D32" s="1083"/>
      <c r="E32" s="1083"/>
      <c r="F32" s="1083"/>
      <c r="G32" s="905"/>
      <c r="H32" s="1077"/>
      <c r="I32" s="1095"/>
      <c r="J32" s="1085"/>
      <c r="K32" s="1044"/>
      <c r="L32" s="964">
        <f>ROUND(J32*K32,4)</f>
        <v>0</v>
      </c>
    </row>
    <row r="33" spans="1:12" x14ac:dyDescent="0.2">
      <c r="A33" s="1497" t="s">
        <v>490</v>
      </c>
      <c r="B33" s="1497"/>
      <c r="C33" s="1497"/>
      <c r="D33" s="1497"/>
      <c r="E33" s="1497"/>
      <c r="F33" s="1497"/>
      <c r="G33" s="1497"/>
      <c r="H33" s="1497"/>
      <c r="I33" s="1497"/>
      <c r="J33" s="1497"/>
      <c r="K33" s="1497"/>
      <c r="L33" s="968">
        <f>ROUND(SUM(L29:L32),4)</f>
        <v>65.645200000000003</v>
      </c>
    </row>
    <row r="34" spans="1:12" x14ac:dyDescent="0.2">
      <c r="A34" s="930"/>
      <c r="B34" s="930"/>
      <c r="C34" s="930"/>
      <c r="D34" s="930"/>
      <c r="E34" s="930"/>
      <c r="F34" s="930"/>
      <c r="G34" s="930"/>
      <c r="H34" s="930"/>
      <c r="I34" s="930"/>
      <c r="J34" s="1023"/>
      <c r="K34" s="1023"/>
      <c r="L34" s="1261"/>
    </row>
    <row r="35" spans="1:12" x14ac:dyDescent="0.2">
      <c r="A35" s="930"/>
      <c r="B35" s="930"/>
      <c r="C35" s="930"/>
      <c r="D35" s="930"/>
      <c r="E35" s="930"/>
      <c r="F35" s="930"/>
      <c r="G35" s="930"/>
      <c r="H35" s="930"/>
      <c r="I35" s="930"/>
      <c r="J35" s="1023"/>
      <c r="K35" s="1100" t="s">
        <v>491</v>
      </c>
      <c r="L35" s="1260">
        <f>L25+L33</f>
        <v>263.95370000000003</v>
      </c>
    </row>
    <row r="36" spans="1:12" x14ac:dyDescent="0.2">
      <c r="A36" s="1102" t="s">
        <v>492</v>
      </c>
      <c r="B36" s="930"/>
      <c r="C36" s="930"/>
      <c r="D36" s="930"/>
      <c r="E36" s="930"/>
      <c r="F36" s="1103">
        <v>6.2249999999999996</v>
      </c>
      <c r="G36" s="1257" t="str">
        <f>L18</f>
        <v>m</v>
      </c>
      <c r="H36" s="1102"/>
      <c r="I36" s="930"/>
      <c r="J36" s="1105"/>
      <c r="K36" s="1106" t="s">
        <v>493</v>
      </c>
      <c r="L36" s="1035">
        <f>ROUND(L35/F36,4)</f>
        <v>42.402200000000001</v>
      </c>
    </row>
    <row r="37" spans="1:12" x14ac:dyDescent="0.2">
      <c r="A37" s="1102"/>
      <c r="B37" s="930" t="s">
        <v>494</v>
      </c>
      <c r="C37" s="930"/>
      <c r="D37" s="930"/>
      <c r="E37" s="930"/>
      <c r="F37" s="1103"/>
      <c r="G37" s="1104"/>
      <c r="H37" s="1102"/>
      <c r="I37" s="930"/>
      <c r="J37" s="1105"/>
      <c r="K37" s="1100" t="s">
        <v>495</v>
      </c>
      <c r="L37" s="1035">
        <f>ROUND(L36*F37,4)</f>
        <v>0</v>
      </c>
    </row>
    <row r="38" spans="1:12" x14ac:dyDescent="0.2">
      <c r="A38" s="1102"/>
      <c r="B38" s="930" t="s">
        <v>496</v>
      </c>
      <c r="C38" s="930"/>
      <c r="D38" s="930"/>
      <c r="E38" s="930"/>
      <c r="F38" s="1202"/>
      <c r="G38" s="1104"/>
      <c r="H38" s="1105"/>
      <c r="I38" s="1107"/>
      <c r="J38" s="1023"/>
      <c r="K38" s="1100" t="s">
        <v>497</v>
      </c>
      <c r="L38" s="968">
        <f>ROUND(L36*F38,4)</f>
        <v>0</v>
      </c>
    </row>
    <row r="39" spans="1:12" x14ac:dyDescent="0.2">
      <c r="A39" s="930"/>
      <c r="B39" s="930"/>
      <c r="C39" s="930"/>
      <c r="D39" s="930"/>
      <c r="E39" s="930"/>
      <c r="F39" s="930"/>
      <c r="G39" s="930"/>
      <c r="H39" s="930"/>
      <c r="I39" s="930"/>
      <c r="J39" s="1023"/>
      <c r="K39" s="1023"/>
      <c r="L39" s="1261"/>
    </row>
    <row r="40" spans="1:12" x14ac:dyDescent="0.2">
      <c r="A40" s="1462" t="s">
        <v>498</v>
      </c>
      <c r="B40" s="1462"/>
      <c r="C40" s="1462"/>
      <c r="D40" s="1462"/>
      <c r="E40" s="1462"/>
      <c r="F40" s="1462"/>
      <c r="G40" s="1462"/>
      <c r="H40" s="1462"/>
      <c r="I40" s="1456" t="s">
        <v>499</v>
      </c>
      <c r="J40" s="1456"/>
      <c r="K40" s="1456"/>
      <c r="L40" s="1208">
        <f>ROUND(SUM(L36:L39),4)</f>
        <v>42.402200000000001</v>
      </c>
    </row>
    <row r="41" spans="1:12" x14ac:dyDescent="0.2">
      <c r="A41" s="910"/>
      <c r="B41" s="910"/>
      <c r="C41" s="910"/>
      <c r="D41" s="910"/>
      <c r="E41" s="910"/>
      <c r="F41" s="910"/>
      <c r="G41" s="1109"/>
      <c r="H41" s="1109"/>
      <c r="I41" s="933"/>
      <c r="J41" s="933"/>
      <c r="K41" s="933"/>
      <c r="L41" s="910"/>
    </row>
    <row r="42" spans="1:12" x14ac:dyDescent="0.2">
      <c r="A42" s="1462" t="s">
        <v>500</v>
      </c>
      <c r="B42" s="1462"/>
      <c r="C42" s="1462"/>
      <c r="D42" s="1462"/>
      <c r="E42" s="1462"/>
      <c r="F42" s="1462"/>
      <c r="G42" s="1462"/>
      <c r="H42" s="1460" t="s">
        <v>166</v>
      </c>
      <c r="I42" s="1460"/>
      <c r="J42" s="1460" t="s">
        <v>165</v>
      </c>
      <c r="K42" s="1076" t="s">
        <v>501</v>
      </c>
      <c r="L42" s="1076" t="s">
        <v>484</v>
      </c>
    </row>
    <row r="43" spans="1:12" x14ac:dyDescent="0.2">
      <c r="A43" s="1462"/>
      <c r="B43" s="1462"/>
      <c r="C43" s="1462"/>
      <c r="D43" s="1462"/>
      <c r="E43" s="1462"/>
      <c r="F43" s="1462"/>
      <c r="G43" s="1462"/>
      <c r="H43" s="1460"/>
      <c r="I43" s="1460"/>
      <c r="J43" s="1460"/>
      <c r="K43" s="1110" t="s">
        <v>451</v>
      </c>
      <c r="L43" s="1026" t="s">
        <v>451</v>
      </c>
    </row>
    <row r="44" spans="1:12" x14ac:dyDescent="0.2">
      <c r="A44" s="1278" t="s">
        <v>379</v>
      </c>
      <c r="B44" s="1279" t="s">
        <v>762</v>
      </c>
      <c r="C44" s="1050" t="s">
        <v>442</v>
      </c>
      <c r="D44" s="1527" t="s">
        <v>763</v>
      </c>
      <c r="E44" s="1527"/>
      <c r="F44" s="1527"/>
      <c r="G44" s="1527"/>
      <c r="H44" s="1521">
        <v>1</v>
      </c>
      <c r="I44" s="1521"/>
      <c r="J44" s="1280" t="s">
        <v>135</v>
      </c>
      <c r="K44" s="1091">
        <v>115.54</v>
      </c>
      <c r="L44" s="1164">
        <f t="shared" ref="L44:L49" si="0">ROUND(H44*K44,4)</f>
        <v>115.54</v>
      </c>
    </row>
    <row r="45" spans="1:12" ht="17.25" customHeight="1" x14ac:dyDescent="0.2">
      <c r="A45" s="1537" t="s">
        <v>764</v>
      </c>
      <c r="B45" s="1537"/>
      <c r="C45" s="979" t="s">
        <v>442</v>
      </c>
      <c r="D45" s="1519" t="s">
        <v>765</v>
      </c>
      <c r="E45" s="1519"/>
      <c r="F45" s="1519"/>
      <c r="G45" s="1519"/>
      <c r="H45" s="1495">
        <v>0.4</v>
      </c>
      <c r="I45" s="1495"/>
      <c r="J45" s="1113" t="s">
        <v>482</v>
      </c>
      <c r="K45" s="1044">
        <v>77.88</v>
      </c>
      <c r="L45" s="986">
        <f t="shared" si="0"/>
        <v>31.152000000000001</v>
      </c>
    </row>
    <row r="46" spans="1:12" ht="21.75" customHeight="1" x14ac:dyDescent="0.2">
      <c r="A46" s="1537" t="s">
        <v>766</v>
      </c>
      <c r="B46" s="1537"/>
      <c r="C46" s="979" t="s">
        <v>442</v>
      </c>
      <c r="D46" s="1525" t="s">
        <v>767</v>
      </c>
      <c r="E46" s="1525"/>
      <c r="F46" s="1525"/>
      <c r="G46" s="1525"/>
      <c r="H46" s="1495">
        <v>3.49E-3</v>
      </c>
      <c r="I46" s="1495"/>
      <c r="J46" s="1113" t="s">
        <v>581</v>
      </c>
      <c r="K46" s="1044">
        <v>356.19</v>
      </c>
      <c r="L46" s="986">
        <f t="shared" si="0"/>
        <v>1.2431000000000001</v>
      </c>
    </row>
    <row r="47" spans="1:12" ht="22.5" customHeight="1" x14ac:dyDescent="0.2">
      <c r="A47" s="1537" t="s">
        <v>768</v>
      </c>
      <c r="B47" s="1537"/>
      <c r="C47" s="979" t="s">
        <v>442</v>
      </c>
      <c r="D47" s="1519" t="s">
        <v>769</v>
      </c>
      <c r="E47" s="1519"/>
      <c r="F47" s="1519"/>
      <c r="G47" s="1519"/>
      <c r="H47" s="1495">
        <v>0.15670000000000001</v>
      </c>
      <c r="I47" s="1495"/>
      <c r="J47" s="1113" t="s">
        <v>581</v>
      </c>
      <c r="K47" s="1044">
        <v>328.93</v>
      </c>
      <c r="L47" s="986">
        <f t="shared" si="0"/>
        <v>51.543300000000002</v>
      </c>
    </row>
    <row r="48" spans="1:12" x14ac:dyDescent="0.2">
      <c r="A48" s="1275"/>
      <c r="B48" s="1281"/>
      <c r="C48" s="979"/>
      <c r="D48" s="942"/>
      <c r="E48" s="942"/>
      <c r="F48" s="942"/>
      <c r="G48" s="1144"/>
      <c r="H48" s="1152"/>
      <c r="I48" s="1080"/>
      <c r="J48" s="1113"/>
      <c r="K48" s="1044"/>
      <c r="L48" s="986">
        <f t="shared" si="0"/>
        <v>0</v>
      </c>
    </row>
    <row r="49" spans="1:12" x14ac:dyDescent="0.2">
      <c r="A49" s="1282"/>
      <c r="B49" s="1283"/>
      <c r="C49" s="1077"/>
      <c r="D49" s="1540"/>
      <c r="E49" s="1540"/>
      <c r="F49" s="1540"/>
      <c r="G49" s="1540"/>
      <c r="H49" s="1512"/>
      <c r="I49" s="1512"/>
      <c r="J49" s="1284"/>
      <c r="K49" s="1285"/>
      <c r="L49" s="1098">
        <f t="shared" si="0"/>
        <v>0</v>
      </c>
    </row>
    <row r="50" spans="1:12" x14ac:dyDescent="0.2">
      <c r="A50" s="1541" t="s">
        <v>502</v>
      </c>
      <c r="B50" s="1541"/>
      <c r="C50" s="1541"/>
      <c r="D50" s="1541"/>
      <c r="E50" s="1541"/>
      <c r="F50" s="1541"/>
      <c r="G50" s="1541"/>
      <c r="H50" s="1541"/>
      <c r="I50" s="1541"/>
      <c r="J50" s="1541"/>
      <c r="K50" s="1541"/>
      <c r="L50" s="1025">
        <f>ROUND(SUM(L44:L49),4)</f>
        <v>199.47839999999999</v>
      </c>
    </row>
    <row r="51" spans="1:12" x14ac:dyDescent="0.2">
      <c r="A51" s="1541"/>
      <c r="B51" s="1541"/>
      <c r="C51" s="1541"/>
      <c r="D51" s="1541"/>
      <c r="E51" s="1541"/>
      <c r="F51" s="1541"/>
      <c r="G51" s="1541"/>
      <c r="H51" s="1541"/>
      <c r="I51" s="1541"/>
      <c r="J51" s="1541"/>
      <c r="K51" s="1541"/>
      <c r="L51" s="1118"/>
    </row>
    <row r="52" spans="1:12" ht="13.9" customHeight="1" x14ac:dyDescent="0.2">
      <c r="A52" s="1462" t="s">
        <v>503</v>
      </c>
      <c r="B52" s="1462"/>
      <c r="C52" s="1462"/>
      <c r="D52" s="1462"/>
      <c r="E52" s="1462"/>
      <c r="F52" s="1462"/>
      <c r="G52" s="1452" t="s">
        <v>504</v>
      </c>
      <c r="H52" s="1460" t="s">
        <v>505</v>
      </c>
      <c r="I52" s="1460"/>
      <c r="J52" s="1460"/>
      <c r="K52" s="1460"/>
      <c r="L52" s="1460" t="s">
        <v>506</v>
      </c>
    </row>
    <row r="53" spans="1:12" x14ac:dyDescent="0.2">
      <c r="A53" s="1462"/>
      <c r="B53" s="1462"/>
      <c r="C53" s="1462"/>
      <c r="D53" s="1462"/>
      <c r="E53" s="1462"/>
      <c r="F53" s="1462"/>
      <c r="G53" s="1452"/>
      <c r="H53" s="944" t="s">
        <v>112</v>
      </c>
      <c r="I53" s="1095" t="s">
        <v>380</v>
      </c>
      <c r="J53" s="1026" t="s">
        <v>383</v>
      </c>
      <c r="K53" s="1110" t="s">
        <v>385</v>
      </c>
      <c r="L53" s="1460"/>
    </row>
    <row r="54" spans="1:12" x14ac:dyDescent="0.2">
      <c r="A54" s="1462"/>
      <c r="B54" s="1462"/>
      <c r="C54" s="1462"/>
      <c r="D54" s="1462"/>
      <c r="E54" s="1462"/>
      <c r="F54" s="1462"/>
      <c r="G54" s="1452"/>
      <c r="H54" s="943" t="s">
        <v>507</v>
      </c>
      <c r="I54" s="1119"/>
      <c r="J54" s="1119"/>
      <c r="K54" s="1119"/>
      <c r="L54" s="1460"/>
    </row>
    <row r="55" spans="1:12" ht="13.9" customHeight="1" x14ac:dyDescent="0.2">
      <c r="A55" s="1539" t="str">
        <f>A44</f>
        <v>DNIT –</v>
      </c>
      <c r="B55" s="1489" t="str">
        <f>B44</f>
        <v>M2167</v>
      </c>
      <c r="C55" s="1490" t="s">
        <v>442</v>
      </c>
      <c r="D55" s="1502" t="str">
        <f>D44</f>
        <v>Tubo de concreto armado PA 1 - D = 0,60 m</v>
      </c>
      <c r="E55" s="1502"/>
      <c r="F55" s="1503" t="s">
        <v>602</v>
      </c>
      <c r="G55" s="1493">
        <f>ROUND(339/1000,5)</f>
        <v>0.33900000000000002</v>
      </c>
      <c r="H55" s="1120" t="s">
        <v>508</v>
      </c>
      <c r="I55" s="1121">
        <v>5914584</v>
      </c>
      <c r="J55" s="1121">
        <v>5914599</v>
      </c>
      <c r="K55" s="1121">
        <v>5914614</v>
      </c>
      <c r="L55" s="1494">
        <f>ROUND(G55*($I$54*I56+$J$54*J56+$K$54*K56),4)</f>
        <v>0</v>
      </c>
    </row>
    <row r="56" spans="1:12" x14ac:dyDescent="0.2">
      <c r="A56" s="1539"/>
      <c r="B56" s="1489"/>
      <c r="C56" s="1490"/>
      <c r="D56" s="1502"/>
      <c r="E56" s="1502"/>
      <c r="F56" s="1503"/>
      <c r="G56" s="1493"/>
      <c r="H56" s="1122" t="s">
        <v>509</v>
      </c>
      <c r="I56" s="1123">
        <v>1.79</v>
      </c>
      <c r="J56" s="1123">
        <v>1.43</v>
      </c>
      <c r="K56" s="1123">
        <v>1.1399999999999999</v>
      </c>
      <c r="L56" s="1494"/>
    </row>
    <row r="57" spans="1:12" x14ac:dyDescent="0.2">
      <c r="A57" s="1149"/>
      <c r="B57" s="1150"/>
      <c r="C57" s="979"/>
      <c r="D57" s="1519"/>
      <c r="E57" s="1519"/>
      <c r="F57" s="1519"/>
      <c r="G57" s="1112"/>
      <c r="H57" s="1286"/>
      <c r="I57" s="1286"/>
      <c r="J57" s="1137"/>
      <c r="K57" s="1287"/>
      <c r="L57" s="1138"/>
    </row>
    <row r="58" spans="1:12" x14ac:dyDescent="0.2">
      <c r="A58" s="1082"/>
      <c r="B58" s="942"/>
      <c r="C58" s="979"/>
      <c r="D58" s="1083"/>
      <c r="E58" s="1083"/>
      <c r="F58" s="1083"/>
      <c r="G58" s="1096"/>
      <c r="H58" s="1288"/>
      <c r="I58" s="1288"/>
      <c r="J58" s="1137"/>
      <c r="K58" s="1289"/>
      <c r="L58" s="1138"/>
    </row>
    <row r="59" spans="1:12" x14ac:dyDescent="0.2">
      <c r="A59" s="1454" t="s">
        <v>510</v>
      </c>
      <c r="B59" s="1454"/>
      <c r="C59" s="1454"/>
      <c r="D59" s="1454"/>
      <c r="E59" s="1454"/>
      <c r="F59" s="1454"/>
      <c r="G59" s="1454"/>
      <c r="H59" s="1454"/>
      <c r="I59" s="1454"/>
      <c r="J59" s="1454"/>
      <c r="K59" s="1454"/>
      <c r="L59" s="1025">
        <f>ROUND(SUM(L55:L58),4)</f>
        <v>0</v>
      </c>
    </row>
    <row r="60" spans="1:12" x14ac:dyDescent="0.2">
      <c r="A60" s="1049"/>
      <c r="B60" s="1049"/>
      <c r="C60" s="1049"/>
      <c r="D60" s="1049"/>
      <c r="E60" s="1049"/>
      <c r="F60" s="1049"/>
      <c r="G60" s="932"/>
      <c r="H60" s="1050"/>
      <c r="I60" s="1050"/>
      <c r="J60" s="1051"/>
      <c r="K60" s="1052"/>
      <c r="L60" s="1053"/>
    </row>
    <row r="61" spans="1:12" x14ac:dyDescent="0.2">
      <c r="A61" s="1454" t="s">
        <v>460</v>
      </c>
      <c r="B61" s="1454"/>
      <c r="C61" s="1454"/>
      <c r="D61" s="1454"/>
      <c r="E61" s="1454"/>
      <c r="F61" s="1454"/>
      <c r="G61" s="1454"/>
      <c r="H61" s="1454"/>
      <c r="I61" s="1454"/>
      <c r="J61" s="1454"/>
      <c r="K61" s="1454"/>
      <c r="L61" s="1025">
        <f>ROUND(L40+L50+L59,4)</f>
        <v>241.88059999999999</v>
      </c>
    </row>
    <row r="62" spans="1:12" x14ac:dyDescent="0.2">
      <c r="A62" s="1455" t="s">
        <v>461</v>
      </c>
      <c r="B62" s="1455"/>
      <c r="C62" s="1455"/>
      <c r="D62" s="1455"/>
      <c r="E62" s="1455"/>
      <c r="F62" s="1455"/>
      <c r="G62" s="1455"/>
      <c r="H62" s="1455"/>
      <c r="I62" s="1455"/>
      <c r="J62" s="1455"/>
      <c r="K62" s="1055">
        <v>0.25569999999999998</v>
      </c>
      <c r="L62" s="1056">
        <f>ROUND(L61*K62,4)</f>
        <v>61.8489</v>
      </c>
    </row>
    <row r="63" spans="1:12" x14ac:dyDescent="0.2">
      <c r="A63" s="1456" t="s">
        <v>462</v>
      </c>
      <c r="B63" s="1456"/>
      <c r="C63" s="1456"/>
      <c r="D63" s="1456"/>
      <c r="E63" s="1456"/>
      <c r="F63" s="1456"/>
      <c r="G63" s="1456"/>
      <c r="H63" s="1456"/>
      <c r="I63" s="1456"/>
      <c r="J63" s="1456"/>
      <c r="K63" s="1456"/>
      <c r="L63" s="1126">
        <f>ROUND(L61+L62,2)</f>
        <v>303.73</v>
      </c>
    </row>
    <row r="64" spans="1:12" x14ac:dyDescent="0.2">
      <c r="A64" s="1058"/>
      <c r="B64" s="1058"/>
      <c r="C64" s="1058"/>
      <c r="D64" s="1058"/>
      <c r="E64" s="1058"/>
      <c r="F64" s="1058"/>
      <c r="G64" s="1058"/>
      <c r="H64" s="1058"/>
      <c r="I64" s="1058"/>
      <c r="J64" s="1058"/>
      <c r="K64" s="1058"/>
      <c r="L64" s="1058"/>
    </row>
    <row r="65" spans="1:12" ht="25.5" customHeight="1" x14ac:dyDescent="0.2">
      <c r="A65" s="1059" t="s">
        <v>463</v>
      </c>
      <c r="B65" s="1060"/>
      <c r="C65" s="1518" t="s">
        <v>603</v>
      </c>
      <c r="D65" s="1518"/>
      <c r="E65" s="1518"/>
      <c r="F65" s="1518"/>
      <c r="G65" s="1518"/>
      <c r="H65" s="1518"/>
      <c r="I65" s="1518"/>
      <c r="J65" s="1518"/>
      <c r="K65" s="1518"/>
      <c r="L65" s="1518"/>
    </row>
    <row r="66" spans="1:12" ht="21" customHeight="1" x14ac:dyDescent="0.2">
      <c r="A66" s="1210"/>
      <c r="B66" s="1184"/>
      <c r="C66" s="1519" t="s">
        <v>604</v>
      </c>
      <c r="D66" s="1519"/>
      <c r="E66" s="1519"/>
      <c r="F66" s="1519"/>
      <c r="G66" s="1519"/>
      <c r="H66" s="1519"/>
      <c r="I66" s="1519"/>
      <c r="J66" s="1519"/>
      <c r="K66" s="1519"/>
      <c r="L66" s="1519"/>
    </row>
    <row r="67" spans="1:12" x14ac:dyDescent="0.2">
      <c r="A67" s="1071"/>
      <c r="B67" s="1129"/>
      <c r="C67" s="1129"/>
      <c r="D67" s="1129"/>
      <c r="E67" s="1129"/>
      <c r="F67" s="1129"/>
      <c r="G67" s="1129"/>
      <c r="H67" s="1129"/>
      <c r="I67" s="1129"/>
      <c r="J67" s="1129"/>
      <c r="K67" s="1129"/>
      <c r="L67" s="1254"/>
    </row>
  </sheetData>
  <mergeCells count="62">
    <mergeCell ref="A1:L1"/>
    <mergeCell ref="A2:L2"/>
    <mergeCell ref="A3:L3"/>
    <mergeCell ref="A4:L4"/>
    <mergeCell ref="A5:K5"/>
    <mergeCell ref="A6:K6"/>
    <mergeCell ref="A7:K7"/>
    <mergeCell ref="L7:L8"/>
    <mergeCell ref="A10:L10"/>
    <mergeCell ref="A12:D12"/>
    <mergeCell ref="E12:L12"/>
    <mergeCell ref="A15:L16"/>
    <mergeCell ref="E18:J18"/>
    <mergeCell ref="A20:F21"/>
    <mergeCell ref="G20:G21"/>
    <mergeCell ref="H20:I20"/>
    <mergeCell ref="J20:K20"/>
    <mergeCell ref="D22:F22"/>
    <mergeCell ref="D23:F23"/>
    <mergeCell ref="A25:K25"/>
    <mergeCell ref="A27:I28"/>
    <mergeCell ref="J27:J28"/>
    <mergeCell ref="K27:K28"/>
    <mergeCell ref="D30:I30"/>
    <mergeCell ref="A33:K33"/>
    <mergeCell ref="A40:H40"/>
    <mergeCell ref="I40:K40"/>
    <mergeCell ref="A42:G43"/>
    <mergeCell ref="H42:I43"/>
    <mergeCell ref="J42:J43"/>
    <mergeCell ref="D44:G44"/>
    <mergeCell ref="H44:I44"/>
    <mergeCell ref="A45:B45"/>
    <mergeCell ref="D45:G45"/>
    <mergeCell ref="H45:I45"/>
    <mergeCell ref="A46:B46"/>
    <mergeCell ref="D46:G46"/>
    <mergeCell ref="H46:I46"/>
    <mergeCell ref="A47:B47"/>
    <mergeCell ref="D47:G47"/>
    <mergeCell ref="H47:I47"/>
    <mergeCell ref="D49:G49"/>
    <mergeCell ref="H49:I49"/>
    <mergeCell ref="A50:K51"/>
    <mergeCell ref="A52:F54"/>
    <mergeCell ref="G52:G54"/>
    <mergeCell ref="H52:K52"/>
    <mergeCell ref="L52:L54"/>
    <mergeCell ref="A55:A56"/>
    <mergeCell ref="B55:B56"/>
    <mergeCell ref="C55:C56"/>
    <mergeCell ref="D55:E56"/>
    <mergeCell ref="F55:F56"/>
    <mergeCell ref="G55:G56"/>
    <mergeCell ref="L55:L56"/>
    <mergeCell ref="C65:L65"/>
    <mergeCell ref="C66:L66"/>
    <mergeCell ref="D57:F57"/>
    <mergeCell ref="A59:K59"/>
    <mergeCell ref="A61:K61"/>
    <mergeCell ref="A62:J62"/>
    <mergeCell ref="A63:K63"/>
  </mergeCells>
  <dataValidations count="1">
    <dataValidation allowBlank="1" showInputMessage="1" showErrorMessage="1" prompt="Clique duas vezes sobre o número do item para ser direcionado à Planilha Orçamentária." sqref="D18" xr:uid="{00000000-0002-0000-1700-000000000000}">
      <formula1>0</formula1>
      <formula2>0</formula2>
    </dataValidation>
  </dataValidations>
  <printOptions horizontalCentered="1" verticalCentered="1"/>
  <pageMargins left="0.51180555555555496" right="0.51180555555555496" top="0.78749999999999998" bottom="0.78749999999999998" header="0.51180555555555496" footer="0.51180555555555496"/>
  <pageSetup paperSize="9" scale="74" firstPageNumber="0"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L67"/>
  <sheetViews>
    <sheetView topLeftCell="A43" zoomScale="83" zoomScaleNormal="83" workbookViewId="0">
      <selection activeCell="P139" sqref="P139"/>
    </sheetView>
  </sheetViews>
  <sheetFormatPr defaultRowHeight="15" x14ac:dyDescent="0.2"/>
  <cols>
    <col min="1" max="2" width="7.6640625" style="902" customWidth="1"/>
    <col min="3" max="3" width="1.61328125" style="902" customWidth="1"/>
    <col min="4" max="4" width="3.765625" style="902" customWidth="1"/>
    <col min="5" max="5" width="23.67578125" style="902" customWidth="1"/>
    <col min="6" max="6" width="12.64453125" style="902" customWidth="1"/>
    <col min="7" max="7" width="8.7421875" style="902" customWidth="1"/>
    <col min="8" max="8" width="9.55078125" style="902" customWidth="1"/>
    <col min="9" max="11" width="8.7421875" style="902" customWidth="1"/>
    <col min="12" max="12" width="10.76171875" style="902" customWidth="1"/>
    <col min="13" max="1025" width="8.7421875" customWidth="1"/>
  </cols>
  <sheetData>
    <row r="1" spans="1:12" x14ac:dyDescent="0.2">
      <c r="A1" s="1474"/>
      <c r="B1" s="1474"/>
      <c r="C1" s="1474"/>
      <c r="D1" s="1474"/>
      <c r="E1" s="1474"/>
      <c r="F1" s="1474"/>
      <c r="G1" s="1474"/>
      <c r="H1" s="1474"/>
      <c r="I1" s="1474"/>
      <c r="J1" s="1474"/>
      <c r="K1" s="1474"/>
      <c r="L1" s="1474"/>
    </row>
    <row r="2" spans="1:12" x14ac:dyDescent="0.2">
      <c r="A2" s="1475" t="s">
        <v>629</v>
      </c>
      <c r="B2" s="1475"/>
      <c r="C2" s="1475"/>
      <c r="D2" s="1475"/>
      <c r="E2" s="1475"/>
      <c r="F2" s="1475"/>
      <c r="G2" s="1475"/>
      <c r="H2" s="1475"/>
      <c r="I2" s="1475"/>
      <c r="J2" s="1475"/>
      <c r="K2" s="1475"/>
      <c r="L2" s="1475"/>
    </row>
    <row r="3" spans="1:12" x14ac:dyDescent="0.2">
      <c r="A3" s="1474"/>
      <c r="B3" s="1474"/>
      <c r="C3" s="1474"/>
      <c r="D3" s="1474"/>
      <c r="E3" s="1474"/>
      <c r="F3" s="1474"/>
      <c r="G3" s="1474"/>
      <c r="H3" s="1474"/>
      <c r="I3" s="1474"/>
      <c r="J3" s="1474"/>
      <c r="K3" s="1474"/>
      <c r="L3" s="1474"/>
    </row>
    <row r="4" spans="1:12" x14ac:dyDescent="0.2">
      <c r="A4" s="1476"/>
      <c r="B4" s="1476"/>
      <c r="C4" s="1476"/>
      <c r="D4" s="1476"/>
      <c r="E4" s="1476"/>
      <c r="F4" s="1476"/>
      <c r="G4" s="1476"/>
      <c r="H4" s="1476"/>
      <c r="I4" s="1476"/>
      <c r="J4" s="1476"/>
      <c r="K4" s="1476"/>
      <c r="L4" s="1476"/>
    </row>
    <row r="5" spans="1:12" x14ac:dyDescent="0.2">
      <c r="A5" s="1477"/>
      <c r="B5" s="1477"/>
      <c r="C5" s="1477"/>
      <c r="D5" s="1477"/>
      <c r="E5" s="1477"/>
      <c r="F5" s="1477"/>
      <c r="G5" s="1477"/>
      <c r="H5" s="1477"/>
      <c r="I5" s="1477"/>
      <c r="J5" s="1477"/>
      <c r="K5" s="1477"/>
      <c r="L5" s="903" t="s">
        <v>419</v>
      </c>
    </row>
    <row r="6" spans="1:12" ht="9.9499999999999993" customHeight="1" x14ac:dyDescent="0.2">
      <c r="A6" s="1469"/>
      <c r="B6" s="1469"/>
      <c r="C6" s="1469"/>
      <c r="D6" s="1469"/>
      <c r="E6" s="1469"/>
      <c r="F6" s="1469"/>
      <c r="G6" s="1469"/>
      <c r="H6" s="1469"/>
      <c r="I6" s="1469"/>
      <c r="J6" s="1469"/>
      <c r="K6" s="1469"/>
      <c r="L6" s="1075"/>
    </row>
    <row r="7" spans="1:12" ht="13.9" customHeight="1" x14ac:dyDescent="0.2">
      <c r="A7" s="1469"/>
      <c r="B7" s="1469"/>
      <c r="C7" s="1469"/>
      <c r="D7" s="1469"/>
      <c r="E7" s="1469"/>
      <c r="F7" s="1469"/>
      <c r="G7" s="1469"/>
      <c r="H7" s="1469"/>
      <c r="I7" s="1469"/>
      <c r="J7" s="1469"/>
      <c r="K7" s="1469"/>
      <c r="L7" s="1470" t="s">
        <v>202</v>
      </c>
    </row>
    <row r="8" spans="1:12" x14ac:dyDescent="0.2">
      <c r="A8" s="904"/>
      <c r="B8" s="905"/>
      <c r="C8" s="906"/>
      <c r="D8" s="907"/>
      <c r="E8" s="908"/>
      <c r="F8" s="906"/>
      <c r="G8" s="906"/>
      <c r="H8" s="906"/>
      <c r="I8" s="906"/>
      <c r="J8" s="906"/>
      <c r="K8" s="909"/>
      <c r="L8" s="1470"/>
    </row>
    <row r="9" spans="1:12" x14ac:dyDescent="0.2">
      <c r="A9" s="910"/>
      <c r="B9" s="910"/>
      <c r="C9" s="911"/>
      <c r="D9" s="912"/>
      <c r="E9" s="912"/>
      <c r="F9" s="913"/>
      <c r="G9" s="913"/>
      <c r="H9" s="913"/>
      <c r="I9" s="913"/>
      <c r="J9" s="913"/>
      <c r="K9" s="913"/>
      <c r="L9" s="914"/>
    </row>
    <row r="10" spans="1:12" ht="9" customHeight="1" x14ac:dyDescent="0.2">
      <c r="A10" s="1471"/>
      <c r="B10" s="1471"/>
      <c r="C10" s="1471"/>
      <c r="D10" s="1471"/>
      <c r="E10" s="1471"/>
      <c r="F10" s="1471"/>
      <c r="G10" s="1471"/>
      <c r="H10" s="1471"/>
      <c r="I10" s="1471"/>
      <c r="J10" s="1471"/>
      <c r="K10" s="1471"/>
      <c r="L10" s="1471"/>
    </row>
    <row r="11" spans="1:12" ht="9" customHeight="1" x14ac:dyDescent="0.2">
      <c r="A11" s="915"/>
      <c r="B11" s="912"/>
      <c r="C11" s="911"/>
      <c r="D11" s="912"/>
      <c r="E11" s="911"/>
      <c r="F11" s="911"/>
      <c r="G11" s="911"/>
      <c r="H11" s="911"/>
      <c r="I11" s="911"/>
      <c r="J11" s="911"/>
      <c r="K11" s="911"/>
      <c r="L11" s="916"/>
    </row>
    <row r="12" spans="1:12" x14ac:dyDescent="0.2">
      <c r="A12" s="1472" t="s">
        <v>421</v>
      </c>
      <c r="B12" s="1472"/>
      <c r="C12" s="1472"/>
      <c r="D12" s="1472"/>
      <c r="E12" s="1542" t="s">
        <v>648</v>
      </c>
      <c r="F12" s="1542"/>
      <c r="G12" s="1542"/>
      <c r="H12" s="1542"/>
      <c r="I12" s="1542"/>
      <c r="J12" s="1542"/>
      <c r="K12" s="1542"/>
      <c r="L12" s="1542"/>
    </row>
    <row r="13" spans="1:12" ht="9" customHeight="1" x14ac:dyDescent="0.2">
      <c r="A13" s="920"/>
      <c r="B13" s="907"/>
      <c r="C13" s="921"/>
      <c r="D13" s="907"/>
      <c r="E13" s="907"/>
      <c r="F13" s="906"/>
      <c r="G13" s="906"/>
      <c r="H13" s="906"/>
      <c r="I13" s="906"/>
      <c r="J13" s="906"/>
      <c r="K13" s="906"/>
      <c r="L13" s="922"/>
    </row>
    <row r="14" spans="1:12" x14ac:dyDescent="0.2">
      <c r="A14" s="913"/>
      <c r="B14" s="913"/>
      <c r="C14" s="913"/>
      <c r="D14" s="913"/>
      <c r="E14" s="913"/>
      <c r="F14" s="913"/>
      <c r="G14" s="913"/>
      <c r="H14" s="913"/>
      <c r="I14" s="913"/>
      <c r="J14" s="913"/>
      <c r="K14" s="913"/>
      <c r="L14" s="914"/>
    </row>
    <row r="15" spans="1:12" x14ac:dyDescent="0.2">
      <c r="A15" s="1473" t="s">
        <v>422</v>
      </c>
      <c r="B15" s="1473"/>
      <c r="C15" s="1473"/>
      <c r="D15" s="1473"/>
      <c r="E15" s="1473"/>
      <c r="F15" s="1473"/>
      <c r="G15" s="1473"/>
      <c r="H15" s="1473"/>
      <c r="I15" s="1473"/>
      <c r="J15" s="1473"/>
      <c r="K15" s="1473"/>
      <c r="L15" s="1473"/>
    </row>
    <row r="16" spans="1:12" x14ac:dyDescent="0.2">
      <c r="A16" s="1473"/>
      <c r="B16" s="1473"/>
      <c r="C16" s="1473"/>
      <c r="D16" s="1473"/>
      <c r="E16" s="1473"/>
      <c r="F16" s="1473"/>
      <c r="G16" s="1473"/>
      <c r="H16" s="1473"/>
      <c r="I16" s="1473"/>
      <c r="J16" s="1473"/>
      <c r="K16" s="1473"/>
      <c r="L16" s="1473"/>
    </row>
    <row r="17" spans="1:12" x14ac:dyDescent="0.2">
      <c r="A17" s="923"/>
      <c r="B17" s="923"/>
      <c r="C17" s="923"/>
      <c r="D17" s="923"/>
      <c r="E17" s="923"/>
      <c r="F17" s="923"/>
      <c r="G17" s="923"/>
      <c r="H17" s="923"/>
      <c r="I17" s="923"/>
      <c r="J17" s="923"/>
      <c r="K17" s="923"/>
      <c r="L17" s="923"/>
    </row>
    <row r="18" spans="1:12" ht="13.9" customHeight="1" x14ac:dyDescent="0.2">
      <c r="A18" s="924" t="s">
        <v>423</v>
      </c>
      <c r="B18" s="925"/>
      <c r="C18" s="925"/>
      <c r="D18" s="926" t="s">
        <v>202</v>
      </c>
      <c r="E18" s="1515" t="s">
        <v>605</v>
      </c>
      <c r="F18" s="1515"/>
      <c r="G18" s="1515"/>
      <c r="H18" s="1515"/>
      <c r="I18" s="1515"/>
      <c r="J18" s="1515"/>
      <c r="K18" s="928" t="s">
        <v>425</v>
      </c>
      <c r="L18" s="929" t="s">
        <v>135</v>
      </c>
    </row>
    <row r="19" spans="1:12" x14ac:dyDescent="0.2">
      <c r="A19" s="910"/>
      <c r="B19" s="910"/>
      <c r="C19" s="910"/>
      <c r="D19" s="910"/>
      <c r="E19" s="910"/>
      <c r="F19" s="910"/>
      <c r="G19" s="910"/>
      <c r="H19" s="910"/>
      <c r="I19" s="910"/>
      <c r="J19" s="910"/>
      <c r="K19" s="910"/>
      <c r="L19" s="910"/>
    </row>
    <row r="20" spans="1:12" x14ac:dyDescent="0.2">
      <c r="A20" s="1462" t="s">
        <v>434</v>
      </c>
      <c r="B20" s="1462"/>
      <c r="C20" s="1462"/>
      <c r="D20" s="1462"/>
      <c r="E20" s="1462"/>
      <c r="F20" s="1462"/>
      <c r="G20" s="1460" t="s">
        <v>166</v>
      </c>
      <c r="H20" s="1460" t="s">
        <v>362</v>
      </c>
      <c r="I20" s="1460"/>
      <c r="J20" s="1500" t="s">
        <v>483</v>
      </c>
      <c r="K20" s="1500"/>
      <c r="L20" s="1076" t="s">
        <v>484</v>
      </c>
    </row>
    <row r="21" spans="1:12" x14ac:dyDescent="0.2">
      <c r="A21" s="1462"/>
      <c r="B21" s="1462"/>
      <c r="C21" s="1462"/>
      <c r="D21" s="1462"/>
      <c r="E21" s="1462"/>
      <c r="F21" s="1462"/>
      <c r="G21" s="1460"/>
      <c r="H21" s="943" t="s">
        <v>485</v>
      </c>
      <c r="I21" s="1077" t="s">
        <v>486</v>
      </c>
      <c r="J21" s="943" t="s">
        <v>485</v>
      </c>
      <c r="K21" s="1077" t="s">
        <v>486</v>
      </c>
      <c r="L21" s="1026" t="s">
        <v>487</v>
      </c>
    </row>
    <row r="22" spans="1:12" ht="24" customHeight="1" x14ac:dyDescent="0.2">
      <c r="A22" s="1043" t="s">
        <v>379</v>
      </c>
      <c r="B22" s="958" t="s">
        <v>643</v>
      </c>
      <c r="C22" s="979" t="s">
        <v>442</v>
      </c>
      <c r="D22" s="1520" t="s">
        <v>642</v>
      </c>
      <c r="E22" s="1520"/>
      <c r="F22" s="1520"/>
      <c r="G22" s="1112">
        <v>1</v>
      </c>
      <c r="H22" s="1116">
        <v>1</v>
      </c>
      <c r="I22" s="961">
        <v>0</v>
      </c>
      <c r="J22" s="986">
        <v>198.30850000000001</v>
      </c>
      <c r="K22" s="986">
        <v>85.256</v>
      </c>
      <c r="L22" s="986">
        <f>ROUND((G22*H22*J22)+(G22*I22*K22),4)</f>
        <v>198.30850000000001</v>
      </c>
    </row>
    <row r="23" spans="1:12" x14ac:dyDescent="0.2">
      <c r="A23" s="1043"/>
      <c r="B23" s="958"/>
      <c r="C23" s="979"/>
      <c r="D23" s="1479"/>
      <c r="E23" s="1479"/>
      <c r="F23" s="1479"/>
      <c r="G23" s="1112"/>
      <c r="H23" s="1116"/>
      <c r="I23" s="961"/>
      <c r="J23" s="986"/>
      <c r="K23" s="986"/>
      <c r="L23" s="986">
        <f>ROUND((G23*H23*J23)+(G23*I23*K23),4)</f>
        <v>0</v>
      </c>
    </row>
    <row r="24" spans="1:12" x14ac:dyDescent="0.2">
      <c r="A24" s="1153"/>
      <c r="B24" s="980"/>
      <c r="C24" s="979"/>
      <c r="D24" s="942"/>
      <c r="E24" s="942"/>
      <c r="F24" s="942"/>
      <c r="G24" s="1096"/>
      <c r="H24" s="1116"/>
      <c r="I24" s="961"/>
      <c r="J24" s="1098"/>
      <c r="K24" s="963"/>
      <c r="L24" s="986">
        <f>ROUND((G24*H24*J24)+(G24*I24*K24),4)</f>
        <v>0</v>
      </c>
    </row>
    <row r="25" spans="1:12" x14ac:dyDescent="0.2">
      <c r="A25" s="1497" t="s">
        <v>488</v>
      </c>
      <c r="B25" s="1497"/>
      <c r="C25" s="1497"/>
      <c r="D25" s="1497"/>
      <c r="E25" s="1497"/>
      <c r="F25" s="1497"/>
      <c r="G25" s="1497"/>
      <c r="H25" s="1497"/>
      <c r="I25" s="1497"/>
      <c r="J25" s="1497"/>
      <c r="K25" s="1497"/>
      <c r="L25" s="968">
        <f>ROUND(SUM(L22:L24),4)</f>
        <v>198.30850000000001</v>
      </c>
    </row>
    <row r="26" spans="1:12" x14ac:dyDescent="0.2">
      <c r="A26" s="930"/>
      <c r="B26" s="930"/>
      <c r="C26" s="930"/>
      <c r="D26" s="930"/>
      <c r="E26" s="930"/>
      <c r="F26" s="930"/>
      <c r="G26" s="930"/>
      <c r="H26" s="1023"/>
      <c r="I26" s="1023"/>
      <c r="J26" s="1023"/>
      <c r="K26" s="1023"/>
      <c r="L26" s="1023"/>
    </row>
    <row r="27" spans="1:12" ht="13.9" customHeight="1" x14ac:dyDescent="0.2">
      <c r="A27" s="1462" t="s">
        <v>447</v>
      </c>
      <c r="B27" s="1462"/>
      <c r="C27" s="1462"/>
      <c r="D27" s="1462"/>
      <c r="E27" s="1462"/>
      <c r="F27" s="1462"/>
      <c r="G27" s="1462"/>
      <c r="H27" s="1462"/>
      <c r="I27" s="1462"/>
      <c r="J27" s="1460" t="s">
        <v>166</v>
      </c>
      <c r="K27" s="1452" t="s">
        <v>489</v>
      </c>
      <c r="L27" s="1076" t="s">
        <v>449</v>
      </c>
    </row>
    <row r="28" spans="1:12" x14ac:dyDescent="0.2">
      <c r="A28" s="1462"/>
      <c r="B28" s="1462"/>
      <c r="C28" s="1462"/>
      <c r="D28" s="1462"/>
      <c r="E28" s="1462"/>
      <c r="F28" s="1462"/>
      <c r="G28" s="1462"/>
      <c r="H28" s="1462"/>
      <c r="I28" s="1462"/>
      <c r="J28" s="1460"/>
      <c r="K28" s="1452"/>
      <c r="L28" s="1026" t="s">
        <v>487</v>
      </c>
    </row>
    <row r="29" spans="1:12" x14ac:dyDescent="0.2">
      <c r="A29" s="1043" t="s">
        <v>379</v>
      </c>
      <c r="B29" s="1130" t="s">
        <v>707</v>
      </c>
      <c r="C29" s="979" t="s">
        <v>442</v>
      </c>
      <c r="D29" s="942" t="s">
        <v>708</v>
      </c>
      <c r="E29" s="942"/>
      <c r="F29" s="942"/>
      <c r="G29" s="942"/>
      <c r="H29" s="942"/>
      <c r="I29" s="1144"/>
      <c r="J29" s="1080">
        <v>1</v>
      </c>
      <c r="K29" s="1044">
        <v>19.5016</v>
      </c>
      <c r="L29" s="964">
        <f>ROUND(J29*K29,4)</f>
        <v>19.5016</v>
      </c>
    </row>
    <row r="30" spans="1:12" x14ac:dyDescent="0.2">
      <c r="A30" s="1149" t="s">
        <v>379</v>
      </c>
      <c r="B30" s="1150" t="s">
        <v>713</v>
      </c>
      <c r="C30" s="979" t="s">
        <v>442</v>
      </c>
      <c r="D30" s="1525" t="s">
        <v>714</v>
      </c>
      <c r="E30" s="1525"/>
      <c r="F30" s="1525"/>
      <c r="G30" s="1525"/>
      <c r="H30" s="1525"/>
      <c r="I30" s="1525"/>
      <c r="J30" s="1080">
        <v>3</v>
      </c>
      <c r="K30" s="1044">
        <v>15.3812</v>
      </c>
      <c r="L30" s="964">
        <f>ROUND(J30*K30,4)</f>
        <v>46.143599999999999</v>
      </c>
    </row>
    <row r="31" spans="1:12" x14ac:dyDescent="0.2">
      <c r="A31" s="1149"/>
      <c r="B31" s="1150"/>
      <c r="C31" s="979"/>
      <c r="D31" s="942"/>
      <c r="E31" s="942"/>
      <c r="F31" s="942"/>
      <c r="G31" s="942"/>
      <c r="H31" s="942"/>
      <c r="I31" s="1144"/>
      <c r="J31" s="1080"/>
      <c r="K31" s="1044"/>
      <c r="L31" s="964">
        <f>ROUND(J31*K31,4)</f>
        <v>0</v>
      </c>
    </row>
    <row r="32" spans="1:12" x14ac:dyDescent="0.2">
      <c r="A32" s="1082"/>
      <c r="B32" s="1083"/>
      <c r="C32" s="1083"/>
      <c r="D32" s="1083"/>
      <c r="E32" s="1083"/>
      <c r="F32" s="1083"/>
      <c r="G32" s="905"/>
      <c r="H32" s="1077"/>
      <c r="I32" s="1095"/>
      <c r="J32" s="1085"/>
      <c r="K32" s="1044"/>
      <c r="L32" s="964">
        <f>ROUND(J32*K32,4)</f>
        <v>0</v>
      </c>
    </row>
    <row r="33" spans="1:12" x14ac:dyDescent="0.2">
      <c r="A33" s="1497" t="s">
        <v>490</v>
      </c>
      <c r="B33" s="1497"/>
      <c r="C33" s="1497"/>
      <c r="D33" s="1497"/>
      <c r="E33" s="1497"/>
      <c r="F33" s="1497"/>
      <c r="G33" s="1497"/>
      <c r="H33" s="1497"/>
      <c r="I33" s="1497"/>
      <c r="J33" s="1497"/>
      <c r="K33" s="1497"/>
      <c r="L33" s="968">
        <f>ROUND(SUM(L29:L32),4)</f>
        <v>65.645200000000003</v>
      </c>
    </row>
    <row r="34" spans="1:12" x14ac:dyDescent="0.2">
      <c r="A34" s="930"/>
      <c r="B34" s="930"/>
      <c r="C34" s="930"/>
      <c r="D34" s="930"/>
      <c r="E34" s="930"/>
      <c r="F34" s="930"/>
      <c r="G34" s="930"/>
      <c r="H34" s="930"/>
      <c r="I34" s="930"/>
      <c r="J34" s="1023"/>
      <c r="K34" s="1023"/>
      <c r="L34" s="1261"/>
    </row>
    <row r="35" spans="1:12" x14ac:dyDescent="0.2">
      <c r="A35" s="930"/>
      <c r="B35" s="930"/>
      <c r="C35" s="930"/>
      <c r="D35" s="930"/>
      <c r="E35" s="930"/>
      <c r="F35" s="930"/>
      <c r="G35" s="930"/>
      <c r="H35" s="930"/>
      <c r="I35" s="930"/>
      <c r="J35" s="1023"/>
      <c r="K35" s="1100" t="s">
        <v>491</v>
      </c>
      <c r="L35" s="1260">
        <f>L25+L33</f>
        <v>263.95370000000003</v>
      </c>
    </row>
    <row r="36" spans="1:12" x14ac:dyDescent="0.2">
      <c r="A36" s="1102" t="s">
        <v>492</v>
      </c>
      <c r="B36" s="930"/>
      <c r="C36" s="930"/>
      <c r="D36" s="930"/>
      <c r="E36" s="930"/>
      <c r="F36" s="1103">
        <v>3.1120000000000001</v>
      </c>
      <c r="G36" s="1257" t="str">
        <f>L18</f>
        <v>m</v>
      </c>
      <c r="H36" s="1102"/>
      <c r="I36" s="930"/>
      <c r="J36" s="1105"/>
      <c r="K36" s="1106" t="s">
        <v>493</v>
      </c>
      <c r="L36" s="968">
        <f>ROUND(L35/F36,4)</f>
        <v>84.817999999999998</v>
      </c>
    </row>
    <row r="37" spans="1:12" x14ac:dyDescent="0.2">
      <c r="A37" s="1102"/>
      <c r="B37" s="930" t="s">
        <v>494</v>
      </c>
      <c r="C37" s="930"/>
      <c r="D37" s="930"/>
      <c r="E37" s="930"/>
      <c r="F37" s="1103"/>
      <c r="G37" s="1104"/>
      <c r="H37" s="1102"/>
      <c r="I37" s="930"/>
      <c r="J37" s="1105"/>
      <c r="K37" s="1100" t="s">
        <v>495</v>
      </c>
      <c r="L37" s="968">
        <f>ROUND(L36*F37,4)</f>
        <v>0</v>
      </c>
    </row>
    <row r="38" spans="1:12" x14ac:dyDescent="0.2">
      <c r="A38" s="1102"/>
      <c r="B38" s="930" t="s">
        <v>496</v>
      </c>
      <c r="C38" s="930"/>
      <c r="D38" s="930"/>
      <c r="E38" s="930"/>
      <c r="F38" s="1202"/>
      <c r="G38" s="1104"/>
      <c r="H38" s="1105"/>
      <c r="I38" s="1107"/>
      <c r="J38" s="1023"/>
      <c r="K38" s="1100" t="s">
        <v>497</v>
      </c>
      <c r="L38" s="968">
        <f>ROUND(L36*F38,4)</f>
        <v>0</v>
      </c>
    </row>
    <row r="39" spans="1:12" x14ac:dyDescent="0.2">
      <c r="A39" s="930"/>
      <c r="B39" s="930"/>
      <c r="C39" s="930"/>
      <c r="D39" s="930"/>
      <c r="E39" s="930"/>
      <c r="F39" s="930"/>
      <c r="G39" s="930"/>
      <c r="H39" s="930"/>
      <c r="I39" s="930"/>
      <c r="J39" s="1023"/>
      <c r="K39" s="1023"/>
      <c r="L39" s="1261"/>
    </row>
    <row r="40" spans="1:12" x14ac:dyDescent="0.2">
      <c r="A40" s="1462" t="s">
        <v>498</v>
      </c>
      <c r="B40" s="1462"/>
      <c r="C40" s="1462"/>
      <c r="D40" s="1462"/>
      <c r="E40" s="1462"/>
      <c r="F40" s="1462"/>
      <c r="G40" s="1462"/>
      <c r="H40" s="1462"/>
      <c r="I40" s="1456" t="s">
        <v>499</v>
      </c>
      <c r="J40" s="1456"/>
      <c r="K40" s="1456"/>
      <c r="L40" s="1208">
        <f>ROUND(SUM(L36:L39),4)</f>
        <v>84.817999999999998</v>
      </c>
    </row>
    <row r="41" spans="1:12" x14ac:dyDescent="0.2">
      <c r="A41" s="910"/>
      <c r="B41" s="910"/>
      <c r="C41" s="910"/>
      <c r="D41" s="910"/>
      <c r="E41" s="910"/>
      <c r="F41" s="910"/>
      <c r="G41" s="1109"/>
      <c r="H41" s="1109"/>
      <c r="I41" s="933"/>
      <c r="J41" s="933"/>
      <c r="K41" s="933"/>
      <c r="L41" s="910"/>
    </row>
    <row r="42" spans="1:12" x14ac:dyDescent="0.2">
      <c r="A42" s="1462" t="s">
        <v>500</v>
      </c>
      <c r="B42" s="1462"/>
      <c r="C42" s="1462"/>
      <c r="D42" s="1462"/>
      <c r="E42" s="1462"/>
      <c r="F42" s="1462"/>
      <c r="G42" s="1462"/>
      <c r="H42" s="1460" t="s">
        <v>166</v>
      </c>
      <c r="I42" s="1460"/>
      <c r="J42" s="1460" t="s">
        <v>165</v>
      </c>
      <c r="K42" s="1076" t="s">
        <v>501</v>
      </c>
      <c r="L42" s="1076" t="s">
        <v>484</v>
      </c>
    </row>
    <row r="43" spans="1:12" x14ac:dyDescent="0.2">
      <c r="A43" s="1462"/>
      <c r="B43" s="1462"/>
      <c r="C43" s="1462"/>
      <c r="D43" s="1462"/>
      <c r="E43" s="1462"/>
      <c r="F43" s="1462"/>
      <c r="G43" s="1462"/>
      <c r="H43" s="1460"/>
      <c r="I43" s="1460"/>
      <c r="J43" s="1460"/>
      <c r="K43" s="1110" t="s">
        <v>451</v>
      </c>
      <c r="L43" s="1026" t="s">
        <v>451</v>
      </c>
    </row>
    <row r="44" spans="1:12" x14ac:dyDescent="0.2">
      <c r="A44" s="1278" t="s">
        <v>379</v>
      </c>
      <c r="B44" s="1279" t="s">
        <v>770</v>
      </c>
      <c r="C44" s="1050" t="s">
        <v>442</v>
      </c>
      <c r="D44" s="1527" t="s">
        <v>771</v>
      </c>
      <c r="E44" s="1527"/>
      <c r="F44" s="1527"/>
      <c r="G44" s="1527"/>
      <c r="H44" s="1521">
        <v>1</v>
      </c>
      <c r="I44" s="1521"/>
      <c r="J44" s="1280" t="s">
        <v>135</v>
      </c>
      <c r="K44" s="1091">
        <v>230.53620000000001</v>
      </c>
      <c r="L44" s="1164">
        <f t="shared" ref="L44:L49" si="0">ROUND(H44*K44,4)</f>
        <v>230.53620000000001</v>
      </c>
    </row>
    <row r="45" spans="1:12" ht="21" customHeight="1" x14ac:dyDescent="0.2">
      <c r="A45" s="1537" t="s">
        <v>764</v>
      </c>
      <c r="B45" s="1537"/>
      <c r="C45" s="979" t="s">
        <v>442</v>
      </c>
      <c r="D45" s="1519" t="s">
        <v>765</v>
      </c>
      <c r="E45" s="1519"/>
      <c r="F45" s="1519"/>
      <c r="G45" s="1519"/>
      <c r="H45" s="1495">
        <v>0.3</v>
      </c>
      <c r="I45" s="1495"/>
      <c r="J45" s="1113" t="s">
        <v>482</v>
      </c>
      <c r="K45" s="1044">
        <v>77.88</v>
      </c>
      <c r="L45" s="986">
        <f t="shared" si="0"/>
        <v>23.364000000000001</v>
      </c>
    </row>
    <row r="46" spans="1:12" ht="17.25" customHeight="1" x14ac:dyDescent="0.2">
      <c r="A46" s="1537" t="s">
        <v>766</v>
      </c>
      <c r="B46" s="1537"/>
      <c r="C46" s="979" t="s">
        <v>442</v>
      </c>
      <c r="D46" s="1525" t="s">
        <v>767</v>
      </c>
      <c r="E46" s="1525"/>
      <c r="F46" s="1525"/>
      <c r="G46" s="1525"/>
      <c r="H46" s="1495">
        <v>5.9300000000000004E-3</v>
      </c>
      <c r="I46" s="1495"/>
      <c r="J46" s="1113" t="s">
        <v>581</v>
      </c>
      <c r="K46" s="1044">
        <v>356.19</v>
      </c>
      <c r="L46" s="986">
        <f t="shared" si="0"/>
        <v>2.1122000000000001</v>
      </c>
    </row>
    <row r="47" spans="1:12" ht="21.75" customHeight="1" x14ac:dyDescent="0.2">
      <c r="A47" s="1537" t="s">
        <v>768</v>
      </c>
      <c r="B47" s="1537"/>
      <c r="C47" s="979" t="s">
        <v>442</v>
      </c>
      <c r="D47" s="1519" t="s">
        <v>769</v>
      </c>
      <c r="E47" s="1519"/>
      <c r="F47" s="1519"/>
      <c r="G47" s="1519"/>
      <c r="H47" s="1495">
        <v>0.33839999999999998</v>
      </c>
      <c r="I47" s="1495"/>
      <c r="J47" s="1113" t="s">
        <v>581</v>
      </c>
      <c r="K47" s="1044">
        <v>328.93</v>
      </c>
      <c r="L47" s="986">
        <f t="shared" si="0"/>
        <v>111.3099</v>
      </c>
    </row>
    <row r="48" spans="1:12" x14ac:dyDescent="0.2">
      <c r="A48" s="1275"/>
      <c r="B48" s="1281"/>
      <c r="C48" s="979"/>
      <c r="D48" s="942"/>
      <c r="E48" s="942"/>
      <c r="F48" s="942"/>
      <c r="G48" s="1144"/>
      <c r="H48" s="1152"/>
      <c r="I48" s="1080"/>
      <c r="J48" s="1113"/>
      <c r="K48" s="1044"/>
      <c r="L48" s="986">
        <f t="shared" si="0"/>
        <v>0</v>
      </c>
    </row>
    <row r="49" spans="1:12" x14ac:dyDescent="0.2">
      <c r="A49" s="1282"/>
      <c r="B49" s="1283"/>
      <c r="C49" s="1077"/>
      <c r="D49" s="1540"/>
      <c r="E49" s="1540"/>
      <c r="F49" s="1540"/>
      <c r="G49" s="1540"/>
      <c r="H49" s="1512"/>
      <c r="I49" s="1512"/>
      <c r="J49" s="1284"/>
      <c r="K49" s="1285"/>
      <c r="L49" s="1098">
        <f t="shared" si="0"/>
        <v>0</v>
      </c>
    </row>
    <row r="50" spans="1:12" x14ac:dyDescent="0.2">
      <c r="A50" s="1541" t="s">
        <v>502</v>
      </c>
      <c r="B50" s="1541"/>
      <c r="C50" s="1541"/>
      <c r="D50" s="1541"/>
      <c r="E50" s="1541"/>
      <c r="F50" s="1541"/>
      <c r="G50" s="1541"/>
      <c r="H50" s="1541"/>
      <c r="I50" s="1541"/>
      <c r="J50" s="1541"/>
      <c r="K50" s="1541"/>
      <c r="L50" s="1056">
        <f>ROUND(SUM(L44:L49),4)</f>
        <v>367.32229999999998</v>
      </c>
    </row>
    <row r="51" spans="1:12" x14ac:dyDescent="0.2">
      <c r="A51" s="1541"/>
      <c r="B51" s="1541"/>
      <c r="C51" s="1541"/>
      <c r="D51" s="1541"/>
      <c r="E51" s="1541"/>
      <c r="F51" s="1541"/>
      <c r="G51" s="1541"/>
      <c r="H51" s="1541"/>
      <c r="I51" s="1541"/>
      <c r="J51" s="1541"/>
      <c r="K51" s="1541"/>
      <c r="L51" s="1118"/>
    </row>
    <row r="52" spans="1:12" ht="13.9" customHeight="1" x14ac:dyDescent="0.2">
      <c r="A52" s="1462" t="s">
        <v>503</v>
      </c>
      <c r="B52" s="1462"/>
      <c r="C52" s="1462"/>
      <c r="D52" s="1462"/>
      <c r="E52" s="1462"/>
      <c r="F52" s="1462"/>
      <c r="G52" s="1452" t="s">
        <v>504</v>
      </c>
      <c r="H52" s="1460" t="s">
        <v>505</v>
      </c>
      <c r="I52" s="1460"/>
      <c r="J52" s="1460"/>
      <c r="K52" s="1460"/>
      <c r="L52" s="1460" t="s">
        <v>506</v>
      </c>
    </row>
    <row r="53" spans="1:12" x14ac:dyDescent="0.2">
      <c r="A53" s="1462"/>
      <c r="B53" s="1462"/>
      <c r="C53" s="1462"/>
      <c r="D53" s="1462"/>
      <c r="E53" s="1462"/>
      <c r="F53" s="1462"/>
      <c r="G53" s="1452"/>
      <c r="H53" s="944" t="s">
        <v>112</v>
      </c>
      <c r="I53" s="1095" t="s">
        <v>380</v>
      </c>
      <c r="J53" s="1026" t="s">
        <v>383</v>
      </c>
      <c r="K53" s="1110" t="s">
        <v>385</v>
      </c>
      <c r="L53" s="1460"/>
    </row>
    <row r="54" spans="1:12" x14ac:dyDescent="0.2">
      <c r="A54" s="1462"/>
      <c r="B54" s="1462"/>
      <c r="C54" s="1462"/>
      <c r="D54" s="1462"/>
      <c r="E54" s="1462"/>
      <c r="F54" s="1462"/>
      <c r="G54" s="1452"/>
      <c r="H54" s="943" t="s">
        <v>507</v>
      </c>
      <c r="I54" s="1119"/>
      <c r="J54" s="1119"/>
      <c r="K54" s="1119"/>
      <c r="L54" s="1460"/>
    </row>
    <row r="55" spans="1:12" ht="13.9" customHeight="1" x14ac:dyDescent="0.2">
      <c r="A55" s="1539" t="str">
        <f>A44</f>
        <v>DNIT –</v>
      </c>
      <c r="B55" s="1489" t="str">
        <f>B44</f>
        <v>M2175</v>
      </c>
      <c r="C55" s="1490" t="s">
        <v>442</v>
      </c>
      <c r="D55" s="1502" t="str">
        <f>D44</f>
        <v>Tubo de concreto armado PA 1 - D = 1,00 m</v>
      </c>
      <c r="E55" s="1502"/>
      <c r="F55" s="1503" t="s">
        <v>602</v>
      </c>
      <c r="G55" s="1493">
        <f>ROUND(770/1000,5)</f>
        <v>0.77</v>
      </c>
      <c r="H55" s="1120" t="s">
        <v>508</v>
      </c>
      <c r="I55" s="1121">
        <v>5914584</v>
      </c>
      <c r="J55" s="1121">
        <v>5914599</v>
      </c>
      <c r="K55" s="1121">
        <v>5914614</v>
      </c>
      <c r="L55" s="1494">
        <f>ROUND(G55*($I$54*I56+$J$54*J56+$K$54*K56),4)</f>
        <v>0</v>
      </c>
    </row>
    <row r="56" spans="1:12" x14ac:dyDescent="0.2">
      <c r="A56" s="1539"/>
      <c r="B56" s="1489"/>
      <c r="C56" s="1490"/>
      <c r="D56" s="1502"/>
      <c r="E56" s="1502"/>
      <c r="F56" s="1503"/>
      <c r="G56" s="1493"/>
      <c r="H56" s="1122" t="s">
        <v>509</v>
      </c>
      <c r="I56" s="1123">
        <v>1.79</v>
      </c>
      <c r="J56" s="1123">
        <v>1.43</v>
      </c>
      <c r="K56" s="1123">
        <v>1.1399999999999999</v>
      </c>
      <c r="L56" s="1494"/>
    </row>
    <row r="57" spans="1:12" x14ac:dyDescent="0.2">
      <c r="A57" s="1149"/>
      <c r="B57" s="1150"/>
      <c r="C57" s="979"/>
      <c r="D57" s="1519"/>
      <c r="E57" s="1519"/>
      <c r="F57" s="1519"/>
      <c r="G57" s="1112"/>
      <c r="H57" s="1286"/>
      <c r="I57" s="1286"/>
      <c r="J57" s="1137"/>
      <c r="K57" s="1287"/>
      <c r="L57" s="986"/>
    </row>
    <row r="58" spans="1:12" x14ac:dyDescent="0.2">
      <c r="A58" s="1082"/>
      <c r="B58" s="942"/>
      <c r="C58" s="979"/>
      <c r="D58" s="1083"/>
      <c r="E58" s="1083"/>
      <c r="F58" s="1083"/>
      <c r="G58" s="1096"/>
      <c r="H58" s="1288"/>
      <c r="I58" s="1288"/>
      <c r="J58" s="1137"/>
      <c r="K58" s="1289"/>
      <c r="L58" s="986"/>
    </row>
    <row r="59" spans="1:12" x14ac:dyDescent="0.2">
      <c r="A59" s="1454" t="s">
        <v>510</v>
      </c>
      <c r="B59" s="1454"/>
      <c r="C59" s="1454"/>
      <c r="D59" s="1454"/>
      <c r="E59" s="1454"/>
      <c r="F59" s="1454"/>
      <c r="G59" s="1454"/>
      <c r="H59" s="1454"/>
      <c r="I59" s="1454"/>
      <c r="J59" s="1454"/>
      <c r="K59" s="1454"/>
      <c r="L59" s="1056">
        <f>ROUND(SUM(L55:L58),4)</f>
        <v>0</v>
      </c>
    </row>
    <row r="60" spans="1:12" x14ac:dyDescent="0.2">
      <c r="A60" s="1049"/>
      <c r="B60" s="1049"/>
      <c r="C60" s="1049"/>
      <c r="D60" s="1049"/>
      <c r="E60" s="1049"/>
      <c r="F60" s="1049"/>
      <c r="G60" s="932"/>
      <c r="H60" s="1050"/>
      <c r="I60" s="1050"/>
      <c r="J60" s="1051"/>
      <c r="K60" s="1052"/>
      <c r="L60" s="1053"/>
    </row>
    <row r="61" spans="1:12" x14ac:dyDescent="0.2">
      <c r="A61" s="1454" t="s">
        <v>460</v>
      </c>
      <c r="B61" s="1454"/>
      <c r="C61" s="1454"/>
      <c r="D61" s="1454"/>
      <c r="E61" s="1454"/>
      <c r="F61" s="1454"/>
      <c r="G61" s="1454"/>
      <c r="H61" s="1454"/>
      <c r="I61" s="1454"/>
      <c r="J61" s="1454"/>
      <c r="K61" s="1454"/>
      <c r="L61" s="1056">
        <f>ROUND(L40+L50+L59,4)</f>
        <v>452.14030000000002</v>
      </c>
    </row>
    <row r="62" spans="1:12" x14ac:dyDescent="0.2">
      <c r="A62" s="1455" t="s">
        <v>461</v>
      </c>
      <c r="B62" s="1455"/>
      <c r="C62" s="1455"/>
      <c r="D62" s="1455"/>
      <c r="E62" s="1455"/>
      <c r="F62" s="1455"/>
      <c r="G62" s="1455"/>
      <c r="H62" s="1455"/>
      <c r="I62" s="1455"/>
      <c r="J62" s="1455"/>
      <c r="K62" s="1055">
        <v>0.25569999999999998</v>
      </c>
      <c r="L62" s="1056">
        <f>ROUND(L61*K62,4)</f>
        <v>115.6123</v>
      </c>
    </row>
    <row r="63" spans="1:12" x14ac:dyDescent="0.2">
      <c r="A63" s="1456" t="s">
        <v>462</v>
      </c>
      <c r="B63" s="1456"/>
      <c r="C63" s="1456"/>
      <c r="D63" s="1456"/>
      <c r="E63" s="1456"/>
      <c r="F63" s="1456"/>
      <c r="G63" s="1456"/>
      <c r="H63" s="1456"/>
      <c r="I63" s="1456"/>
      <c r="J63" s="1456"/>
      <c r="K63" s="1456"/>
      <c r="L63" s="1126">
        <f>ROUND(L61+L62,2)</f>
        <v>567.75</v>
      </c>
    </row>
    <row r="64" spans="1:12" x14ac:dyDescent="0.2">
      <c r="A64" s="1058"/>
      <c r="B64" s="1058"/>
      <c r="C64" s="1058"/>
      <c r="D64" s="1058"/>
      <c r="E64" s="1058"/>
      <c r="F64" s="1058"/>
      <c r="G64" s="1058"/>
      <c r="H64" s="1058"/>
      <c r="I64" s="1058"/>
      <c r="J64" s="1058"/>
      <c r="K64" s="1058"/>
      <c r="L64" s="1058"/>
    </row>
    <row r="65" spans="1:12" ht="27.75" customHeight="1" x14ac:dyDescent="0.2">
      <c r="A65" s="1059" t="s">
        <v>463</v>
      </c>
      <c r="B65" s="1060"/>
      <c r="C65" s="1518" t="s">
        <v>606</v>
      </c>
      <c r="D65" s="1518"/>
      <c r="E65" s="1518"/>
      <c r="F65" s="1518"/>
      <c r="G65" s="1518"/>
      <c r="H65" s="1518"/>
      <c r="I65" s="1518"/>
      <c r="J65" s="1518"/>
      <c r="K65" s="1518"/>
      <c r="L65" s="1518"/>
    </row>
    <row r="66" spans="1:12" ht="25.5" customHeight="1" x14ac:dyDescent="0.2">
      <c r="A66" s="1210"/>
      <c r="B66" s="1184"/>
      <c r="C66" s="1519" t="s">
        <v>604</v>
      </c>
      <c r="D66" s="1519"/>
      <c r="E66" s="1519"/>
      <c r="F66" s="1519"/>
      <c r="G66" s="1519"/>
      <c r="H66" s="1519"/>
      <c r="I66" s="1519"/>
      <c r="J66" s="1519"/>
      <c r="K66" s="1519"/>
      <c r="L66" s="1519"/>
    </row>
    <row r="67" spans="1:12" x14ac:dyDescent="0.2">
      <c r="A67" s="1071"/>
      <c r="B67" s="1129"/>
      <c r="C67" s="1129"/>
      <c r="D67" s="1129"/>
      <c r="E67" s="1129"/>
      <c r="F67" s="1129"/>
      <c r="G67" s="1129"/>
      <c r="H67" s="1129"/>
      <c r="I67" s="1129"/>
      <c r="J67" s="1129"/>
      <c r="K67" s="1129"/>
      <c r="L67" s="1254"/>
    </row>
  </sheetData>
  <mergeCells count="62">
    <mergeCell ref="A1:L1"/>
    <mergeCell ref="A2:L2"/>
    <mergeCell ref="A3:L3"/>
    <mergeCell ref="A4:L4"/>
    <mergeCell ref="A5:K5"/>
    <mergeCell ref="A6:K6"/>
    <mergeCell ref="A7:K7"/>
    <mergeCell ref="L7:L8"/>
    <mergeCell ref="A10:L10"/>
    <mergeCell ref="A12:D12"/>
    <mergeCell ref="E12:L12"/>
    <mergeCell ref="A15:L16"/>
    <mergeCell ref="E18:J18"/>
    <mergeCell ref="A20:F21"/>
    <mergeCell ref="G20:G21"/>
    <mergeCell ref="H20:I20"/>
    <mergeCell ref="J20:K20"/>
    <mergeCell ref="D22:F22"/>
    <mergeCell ref="D23:F23"/>
    <mergeCell ref="A25:K25"/>
    <mergeCell ref="A27:I28"/>
    <mergeCell ref="J27:J28"/>
    <mergeCell ref="K27:K28"/>
    <mergeCell ref="D30:I30"/>
    <mergeCell ref="A33:K33"/>
    <mergeCell ref="A40:H40"/>
    <mergeCell ref="I40:K40"/>
    <mergeCell ref="A42:G43"/>
    <mergeCell ref="H42:I43"/>
    <mergeCell ref="J42:J43"/>
    <mergeCell ref="D44:G44"/>
    <mergeCell ref="H44:I44"/>
    <mergeCell ref="A45:B45"/>
    <mergeCell ref="D45:G45"/>
    <mergeCell ref="H45:I45"/>
    <mergeCell ref="A46:B46"/>
    <mergeCell ref="D46:G46"/>
    <mergeCell ref="H46:I46"/>
    <mergeCell ref="A47:B47"/>
    <mergeCell ref="D47:G47"/>
    <mergeCell ref="H47:I47"/>
    <mergeCell ref="D49:G49"/>
    <mergeCell ref="H49:I49"/>
    <mergeCell ref="A50:K51"/>
    <mergeCell ref="A52:F54"/>
    <mergeCell ref="G52:G54"/>
    <mergeCell ref="H52:K52"/>
    <mergeCell ref="L52:L54"/>
    <mergeCell ref="A55:A56"/>
    <mergeCell ref="B55:B56"/>
    <mergeCell ref="C55:C56"/>
    <mergeCell ref="D55:E56"/>
    <mergeCell ref="F55:F56"/>
    <mergeCell ref="G55:G56"/>
    <mergeCell ref="L55:L56"/>
    <mergeCell ref="C65:L65"/>
    <mergeCell ref="C66:L66"/>
    <mergeCell ref="D57:F57"/>
    <mergeCell ref="A59:K59"/>
    <mergeCell ref="A61:K61"/>
    <mergeCell ref="A62:J62"/>
    <mergeCell ref="A63:K63"/>
  </mergeCells>
  <dataValidations count="1">
    <dataValidation allowBlank="1" showInputMessage="1" showErrorMessage="1" prompt="Clique duas vezes sobre o número do item para ser direcionado à Planilha Orçamentária." sqref="D18" xr:uid="{00000000-0002-0000-1800-000000000000}">
      <formula1>0</formula1>
      <formula2>0</formula2>
    </dataValidation>
  </dataValidations>
  <printOptions horizontalCentered="1" verticalCentered="1"/>
  <pageMargins left="0.51180555555555496" right="0.51180555555555496" top="0.78749999999999998" bottom="0.78749999999999998" header="0.51180555555555496" footer="0.51180555555555496"/>
  <pageSetup paperSize="9" scale="75" firstPageNumber="0"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L67"/>
  <sheetViews>
    <sheetView topLeftCell="A43" zoomScale="83" zoomScaleNormal="83" workbookViewId="0">
      <selection activeCell="P139" sqref="P139"/>
    </sheetView>
  </sheetViews>
  <sheetFormatPr defaultRowHeight="15" x14ac:dyDescent="0.2"/>
  <cols>
    <col min="1" max="2" width="7.6640625" style="902" customWidth="1"/>
    <col min="3" max="3" width="1.4765625" style="902" customWidth="1"/>
    <col min="4" max="4" width="3.765625" style="902" customWidth="1"/>
    <col min="5" max="5" width="23.67578125" style="902" customWidth="1"/>
    <col min="6" max="6" width="12.64453125" style="902" customWidth="1"/>
    <col min="7" max="7" width="8.7421875" style="902" customWidth="1"/>
    <col min="8" max="8" width="9.55078125" style="902" customWidth="1"/>
    <col min="9" max="11" width="8.7421875" style="902" customWidth="1"/>
    <col min="12" max="12" width="10.76171875" style="902" customWidth="1"/>
    <col min="13" max="1025" width="8.7421875" customWidth="1"/>
  </cols>
  <sheetData>
    <row r="1" spans="1:12" x14ac:dyDescent="0.2">
      <c r="A1" s="1474"/>
      <c r="B1" s="1474"/>
      <c r="C1" s="1474"/>
      <c r="D1" s="1474"/>
      <c r="E1" s="1474"/>
      <c r="F1" s="1474"/>
      <c r="G1" s="1474"/>
      <c r="H1" s="1474"/>
      <c r="I1" s="1474"/>
      <c r="J1" s="1474"/>
      <c r="K1" s="1474"/>
      <c r="L1" s="1474"/>
    </row>
    <row r="2" spans="1:12" x14ac:dyDescent="0.2">
      <c r="A2" s="1475" t="s">
        <v>629</v>
      </c>
      <c r="B2" s="1475"/>
      <c r="C2" s="1475"/>
      <c r="D2" s="1475"/>
      <c r="E2" s="1475"/>
      <c r="F2" s="1475"/>
      <c r="G2" s="1475"/>
      <c r="H2" s="1475"/>
      <c r="I2" s="1475"/>
      <c r="J2" s="1475"/>
      <c r="K2" s="1475"/>
      <c r="L2" s="1475"/>
    </row>
    <row r="3" spans="1:12" x14ac:dyDescent="0.2">
      <c r="A3" s="1474"/>
      <c r="B3" s="1474"/>
      <c r="C3" s="1474"/>
      <c r="D3" s="1474"/>
      <c r="E3" s="1474"/>
      <c r="F3" s="1474"/>
      <c r="G3" s="1474"/>
      <c r="H3" s="1474"/>
      <c r="I3" s="1474"/>
      <c r="J3" s="1474"/>
      <c r="K3" s="1474"/>
      <c r="L3" s="1474"/>
    </row>
    <row r="4" spans="1:12" x14ac:dyDescent="0.2">
      <c r="A4" s="1476"/>
      <c r="B4" s="1476"/>
      <c r="C4" s="1476"/>
      <c r="D4" s="1476"/>
      <c r="E4" s="1476"/>
      <c r="F4" s="1476"/>
      <c r="G4" s="1476"/>
      <c r="H4" s="1476"/>
      <c r="I4" s="1476"/>
      <c r="J4" s="1476"/>
      <c r="K4" s="1476"/>
      <c r="L4" s="1476"/>
    </row>
    <row r="5" spans="1:12" x14ac:dyDescent="0.2">
      <c r="A5" s="1477"/>
      <c r="B5" s="1477"/>
      <c r="C5" s="1477"/>
      <c r="D5" s="1477"/>
      <c r="E5" s="1477"/>
      <c r="F5" s="1477"/>
      <c r="G5" s="1477"/>
      <c r="H5" s="1477"/>
      <c r="I5" s="1477"/>
      <c r="J5" s="1477"/>
      <c r="K5" s="1477"/>
      <c r="L5" s="903" t="s">
        <v>419</v>
      </c>
    </row>
    <row r="6" spans="1:12" x14ac:dyDescent="0.2">
      <c r="A6" s="1469"/>
      <c r="B6" s="1469"/>
      <c r="C6" s="1469"/>
      <c r="D6" s="1469"/>
      <c r="E6" s="1469"/>
      <c r="F6" s="1469"/>
      <c r="G6" s="1469"/>
      <c r="H6" s="1469"/>
      <c r="I6" s="1469"/>
      <c r="J6" s="1469"/>
      <c r="K6" s="1469"/>
      <c r="L6" s="1075"/>
    </row>
    <row r="7" spans="1:12" ht="13.9" customHeight="1" x14ac:dyDescent="0.2">
      <c r="A7" s="1469"/>
      <c r="B7" s="1469"/>
      <c r="C7" s="1469"/>
      <c r="D7" s="1469"/>
      <c r="E7" s="1469"/>
      <c r="F7" s="1469"/>
      <c r="G7" s="1469"/>
      <c r="H7" s="1469"/>
      <c r="I7" s="1469"/>
      <c r="J7" s="1469"/>
      <c r="K7" s="1469"/>
      <c r="L7" s="1470" t="s">
        <v>203</v>
      </c>
    </row>
    <row r="8" spans="1:12" x14ac:dyDescent="0.2">
      <c r="A8" s="904"/>
      <c r="B8" s="905"/>
      <c r="C8" s="906"/>
      <c r="D8" s="907"/>
      <c r="E8" s="908"/>
      <c r="F8" s="906"/>
      <c r="G8" s="906"/>
      <c r="H8" s="906"/>
      <c r="I8" s="906"/>
      <c r="J8" s="906"/>
      <c r="K8" s="909"/>
      <c r="L8" s="1470"/>
    </row>
    <row r="9" spans="1:12" x14ac:dyDescent="0.2">
      <c r="A9" s="910"/>
      <c r="B9" s="910"/>
      <c r="C9" s="911"/>
      <c r="D9" s="912"/>
      <c r="E9" s="912"/>
      <c r="F9" s="913"/>
      <c r="G9" s="913"/>
      <c r="H9" s="913"/>
      <c r="I9" s="913"/>
      <c r="J9" s="913"/>
      <c r="K9" s="913"/>
      <c r="L9" s="914"/>
    </row>
    <row r="10" spans="1:12" x14ac:dyDescent="0.2">
      <c r="A10" s="1471"/>
      <c r="B10" s="1471"/>
      <c r="C10" s="1471"/>
      <c r="D10" s="1471"/>
      <c r="E10" s="1471"/>
      <c r="F10" s="1471"/>
      <c r="G10" s="1471"/>
      <c r="H10" s="1471"/>
      <c r="I10" s="1471"/>
      <c r="J10" s="1471"/>
      <c r="K10" s="1471"/>
      <c r="L10" s="1471"/>
    </row>
    <row r="11" spans="1:12" x14ac:dyDescent="0.2">
      <c r="A11" s="915"/>
      <c r="B11" s="912"/>
      <c r="C11" s="911"/>
      <c r="D11" s="912"/>
      <c r="E11" s="911"/>
      <c r="F11" s="911"/>
      <c r="G11" s="911"/>
      <c r="H11" s="911"/>
      <c r="I11" s="911"/>
      <c r="J11" s="911"/>
      <c r="K11" s="911"/>
      <c r="L11" s="916"/>
    </row>
    <row r="12" spans="1:12" x14ac:dyDescent="0.2">
      <c r="A12" s="1472" t="s">
        <v>421</v>
      </c>
      <c r="B12" s="1472"/>
      <c r="C12" s="1472"/>
      <c r="D12" s="1472"/>
      <c r="E12" s="1542" t="s">
        <v>648</v>
      </c>
      <c r="F12" s="1542"/>
      <c r="G12" s="1542"/>
      <c r="H12" s="1542"/>
      <c r="I12" s="1542"/>
      <c r="J12" s="1542"/>
      <c r="K12" s="1542"/>
      <c r="L12" s="1542"/>
    </row>
    <row r="13" spans="1:12" x14ac:dyDescent="0.2">
      <c r="A13" s="920"/>
      <c r="B13" s="907"/>
      <c r="C13" s="921"/>
      <c r="D13" s="907"/>
      <c r="E13" s="907"/>
      <c r="F13" s="906"/>
      <c r="G13" s="906"/>
      <c r="H13" s="906"/>
      <c r="I13" s="906"/>
      <c r="J13" s="906"/>
      <c r="K13" s="906"/>
      <c r="L13" s="922"/>
    </row>
    <row r="14" spans="1:12" x14ac:dyDescent="0.2">
      <c r="A14" s="913"/>
      <c r="B14" s="913"/>
      <c r="C14" s="913"/>
      <c r="D14" s="913"/>
      <c r="E14" s="913"/>
      <c r="F14" s="913"/>
      <c r="G14" s="913"/>
      <c r="H14" s="913"/>
      <c r="I14" s="913"/>
      <c r="J14" s="913"/>
      <c r="K14" s="913"/>
      <c r="L14" s="914"/>
    </row>
    <row r="15" spans="1:12" x14ac:dyDescent="0.2">
      <c r="A15" s="1473" t="s">
        <v>422</v>
      </c>
      <c r="B15" s="1473"/>
      <c r="C15" s="1473"/>
      <c r="D15" s="1473"/>
      <c r="E15" s="1473"/>
      <c r="F15" s="1473"/>
      <c r="G15" s="1473"/>
      <c r="H15" s="1473"/>
      <c r="I15" s="1473"/>
      <c r="J15" s="1473"/>
      <c r="K15" s="1473"/>
      <c r="L15" s="1473"/>
    </row>
    <row r="16" spans="1:12" x14ac:dyDescent="0.2">
      <c r="A16" s="1473"/>
      <c r="B16" s="1473"/>
      <c r="C16" s="1473"/>
      <c r="D16" s="1473"/>
      <c r="E16" s="1473"/>
      <c r="F16" s="1473"/>
      <c r="G16" s="1473"/>
      <c r="H16" s="1473"/>
      <c r="I16" s="1473"/>
      <c r="J16" s="1473"/>
      <c r="K16" s="1473"/>
      <c r="L16" s="1473"/>
    </row>
    <row r="17" spans="1:12" x14ac:dyDescent="0.2">
      <c r="A17" s="923"/>
      <c r="B17" s="923"/>
      <c r="C17" s="923"/>
      <c r="D17" s="923"/>
      <c r="E17" s="923"/>
      <c r="F17" s="923"/>
      <c r="G17" s="923"/>
      <c r="H17" s="923"/>
      <c r="I17" s="923"/>
      <c r="J17" s="923"/>
      <c r="K17" s="923"/>
      <c r="L17" s="923"/>
    </row>
    <row r="18" spans="1:12" ht="13.9" customHeight="1" x14ac:dyDescent="0.2">
      <c r="A18" s="924" t="s">
        <v>423</v>
      </c>
      <c r="B18" s="925"/>
      <c r="C18" s="925"/>
      <c r="D18" s="926" t="s">
        <v>203</v>
      </c>
      <c r="E18" s="1515" t="s">
        <v>607</v>
      </c>
      <c r="F18" s="1515"/>
      <c r="G18" s="1515"/>
      <c r="H18" s="1515"/>
      <c r="I18" s="1515"/>
      <c r="J18" s="1515"/>
      <c r="K18" s="928" t="s">
        <v>425</v>
      </c>
      <c r="L18" s="929" t="s">
        <v>135</v>
      </c>
    </row>
    <row r="19" spans="1:12" x14ac:dyDescent="0.2">
      <c r="A19" s="910"/>
      <c r="B19" s="910"/>
      <c r="C19" s="910"/>
      <c r="D19" s="910"/>
      <c r="E19" s="910"/>
      <c r="F19" s="910"/>
      <c r="G19" s="910"/>
      <c r="H19" s="910"/>
      <c r="I19" s="910"/>
      <c r="J19" s="910"/>
      <c r="K19" s="910"/>
      <c r="L19" s="910"/>
    </row>
    <row r="20" spans="1:12" x14ac:dyDescent="0.2">
      <c r="A20" s="1462" t="s">
        <v>434</v>
      </c>
      <c r="B20" s="1462"/>
      <c r="C20" s="1462"/>
      <c r="D20" s="1462"/>
      <c r="E20" s="1462"/>
      <c r="F20" s="1462"/>
      <c r="G20" s="1460" t="s">
        <v>166</v>
      </c>
      <c r="H20" s="1460" t="s">
        <v>362</v>
      </c>
      <c r="I20" s="1460"/>
      <c r="J20" s="1500" t="s">
        <v>483</v>
      </c>
      <c r="K20" s="1500"/>
      <c r="L20" s="1076" t="s">
        <v>484</v>
      </c>
    </row>
    <row r="21" spans="1:12" x14ac:dyDescent="0.2">
      <c r="A21" s="1462"/>
      <c r="B21" s="1462"/>
      <c r="C21" s="1462"/>
      <c r="D21" s="1462"/>
      <c r="E21" s="1462"/>
      <c r="F21" s="1462"/>
      <c r="G21" s="1460"/>
      <c r="H21" s="943" t="s">
        <v>485</v>
      </c>
      <c r="I21" s="1077" t="s">
        <v>486</v>
      </c>
      <c r="J21" s="943" t="s">
        <v>485</v>
      </c>
      <c r="K21" s="1077" t="s">
        <v>486</v>
      </c>
      <c r="L21" s="1026" t="s">
        <v>487</v>
      </c>
    </row>
    <row r="22" spans="1:12" ht="18.75" customHeight="1" x14ac:dyDescent="0.2">
      <c r="A22" s="1043" t="s">
        <v>379</v>
      </c>
      <c r="B22" s="958" t="s">
        <v>643</v>
      </c>
      <c r="C22" s="979" t="s">
        <v>442</v>
      </c>
      <c r="D22" s="1520" t="s">
        <v>642</v>
      </c>
      <c r="E22" s="1520"/>
      <c r="F22" s="1520"/>
      <c r="G22" s="1112">
        <v>1</v>
      </c>
      <c r="H22" s="1116">
        <v>1</v>
      </c>
      <c r="I22" s="961">
        <v>0</v>
      </c>
      <c r="J22" s="986">
        <v>198.30850000000001</v>
      </c>
      <c r="K22" s="986">
        <v>85.256</v>
      </c>
      <c r="L22" s="986">
        <f>ROUND((G22*H22*J22)+(G22*I22*K22),4)</f>
        <v>198.30850000000001</v>
      </c>
    </row>
    <row r="23" spans="1:12" x14ac:dyDescent="0.2">
      <c r="A23" s="1043"/>
      <c r="B23" s="958"/>
      <c r="C23" s="979"/>
      <c r="D23" s="1479"/>
      <c r="E23" s="1479"/>
      <c r="F23" s="1479"/>
      <c r="G23" s="1112"/>
      <c r="H23" s="1116"/>
      <c r="I23" s="961"/>
      <c r="J23" s="986"/>
      <c r="K23" s="986"/>
      <c r="L23" s="986">
        <f>ROUND((G23*H23*J23)+(G23*I23*K23),4)</f>
        <v>0</v>
      </c>
    </row>
    <row r="24" spans="1:12" x14ac:dyDescent="0.2">
      <c r="A24" s="1153"/>
      <c r="B24" s="980"/>
      <c r="C24" s="979"/>
      <c r="D24" s="942"/>
      <c r="E24" s="942"/>
      <c r="F24" s="942"/>
      <c r="G24" s="1096"/>
      <c r="H24" s="1116"/>
      <c r="I24" s="961"/>
      <c r="J24" s="1098"/>
      <c r="K24" s="963"/>
      <c r="L24" s="986">
        <f>ROUND((G24*H24*J24)+(G24*I24*K24),4)</f>
        <v>0</v>
      </c>
    </row>
    <row r="25" spans="1:12" x14ac:dyDescent="0.2">
      <c r="A25" s="1497" t="s">
        <v>488</v>
      </c>
      <c r="B25" s="1497"/>
      <c r="C25" s="1497"/>
      <c r="D25" s="1497"/>
      <c r="E25" s="1497"/>
      <c r="F25" s="1497"/>
      <c r="G25" s="1497"/>
      <c r="H25" s="1497"/>
      <c r="I25" s="1497"/>
      <c r="J25" s="1497"/>
      <c r="K25" s="1497"/>
      <c r="L25" s="968">
        <f>ROUND(SUM(L22:L24),4)</f>
        <v>198.30850000000001</v>
      </c>
    </row>
    <row r="26" spans="1:12" x14ac:dyDescent="0.2">
      <c r="A26" s="930"/>
      <c r="B26" s="930"/>
      <c r="C26" s="930"/>
      <c r="D26" s="930"/>
      <c r="E26" s="930"/>
      <c r="F26" s="930"/>
      <c r="G26" s="930"/>
      <c r="H26" s="1023"/>
      <c r="I26" s="1023"/>
      <c r="J26" s="1023"/>
      <c r="K26" s="1023"/>
      <c r="L26" s="1023"/>
    </row>
    <row r="27" spans="1:12" ht="13.9" customHeight="1" x14ac:dyDescent="0.2">
      <c r="A27" s="1462" t="s">
        <v>447</v>
      </c>
      <c r="B27" s="1462"/>
      <c r="C27" s="1462"/>
      <c r="D27" s="1462"/>
      <c r="E27" s="1462"/>
      <c r="F27" s="1462"/>
      <c r="G27" s="1462"/>
      <c r="H27" s="1462"/>
      <c r="I27" s="1462"/>
      <c r="J27" s="1460" t="s">
        <v>166</v>
      </c>
      <c r="K27" s="1452" t="s">
        <v>489</v>
      </c>
      <c r="L27" s="1076" t="s">
        <v>449</v>
      </c>
    </row>
    <row r="28" spans="1:12" x14ac:dyDescent="0.2">
      <c r="A28" s="1462"/>
      <c r="B28" s="1462"/>
      <c r="C28" s="1462"/>
      <c r="D28" s="1462"/>
      <c r="E28" s="1462"/>
      <c r="F28" s="1462"/>
      <c r="G28" s="1462"/>
      <c r="H28" s="1462"/>
      <c r="I28" s="1462"/>
      <c r="J28" s="1460"/>
      <c r="K28" s="1452"/>
      <c r="L28" s="1026" t="s">
        <v>487</v>
      </c>
    </row>
    <row r="29" spans="1:12" x14ac:dyDescent="0.2">
      <c r="A29" s="1043" t="s">
        <v>379</v>
      </c>
      <c r="B29" s="1130" t="s">
        <v>707</v>
      </c>
      <c r="C29" s="979" t="s">
        <v>442</v>
      </c>
      <c r="D29" s="942" t="s">
        <v>708</v>
      </c>
      <c r="E29" s="942"/>
      <c r="F29" s="942"/>
      <c r="G29" s="942"/>
      <c r="H29" s="942"/>
      <c r="I29" s="1144"/>
      <c r="J29" s="1080">
        <v>1</v>
      </c>
      <c r="K29" s="1044">
        <v>19.5016</v>
      </c>
      <c r="L29" s="964">
        <f>ROUND(J29*K29,4)</f>
        <v>19.5016</v>
      </c>
    </row>
    <row r="30" spans="1:12" x14ac:dyDescent="0.2">
      <c r="A30" s="1149" t="s">
        <v>379</v>
      </c>
      <c r="B30" s="1150" t="s">
        <v>713</v>
      </c>
      <c r="C30" s="979" t="s">
        <v>442</v>
      </c>
      <c r="D30" s="1525" t="s">
        <v>714</v>
      </c>
      <c r="E30" s="1525"/>
      <c r="F30" s="1525"/>
      <c r="G30" s="1525"/>
      <c r="H30" s="1525"/>
      <c r="I30" s="1525"/>
      <c r="J30" s="1080">
        <v>3</v>
      </c>
      <c r="K30" s="1044">
        <v>15.3812</v>
      </c>
      <c r="L30" s="964">
        <f>ROUND(J30*K30,4)</f>
        <v>46.143599999999999</v>
      </c>
    </row>
    <row r="31" spans="1:12" x14ac:dyDescent="0.2">
      <c r="A31" s="1149"/>
      <c r="B31" s="1150"/>
      <c r="C31" s="979"/>
      <c r="D31" s="942"/>
      <c r="E31" s="942"/>
      <c r="F31" s="942"/>
      <c r="G31" s="942"/>
      <c r="H31" s="942"/>
      <c r="I31" s="1144"/>
      <c r="J31" s="1080"/>
      <c r="K31" s="1044"/>
      <c r="L31" s="964">
        <f>ROUND(J31*K31,4)</f>
        <v>0</v>
      </c>
    </row>
    <row r="32" spans="1:12" x14ac:dyDescent="0.2">
      <c r="A32" s="1082"/>
      <c r="B32" s="1083"/>
      <c r="C32" s="1083"/>
      <c r="D32" s="1083"/>
      <c r="E32" s="1083"/>
      <c r="F32" s="1083"/>
      <c r="G32" s="905"/>
      <c r="H32" s="1077"/>
      <c r="I32" s="1095"/>
      <c r="J32" s="1085"/>
      <c r="K32" s="1044"/>
      <c r="L32" s="964">
        <f>ROUND(J32*K32,4)</f>
        <v>0</v>
      </c>
    </row>
    <row r="33" spans="1:12" x14ac:dyDescent="0.2">
      <c r="A33" s="1497" t="s">
        <v>490</v>
      </c>
      <c r="B33" s="1497"/>
      <c r="C33" s="1497"/>
      <c r="D33" s="1497"/>
      <c r="E33" s="1497"/>
      <c r="F33" s="1497"/>
      <c r="G33" s="1497"/>
      <c r="H33" s="1497"/>
      <c r="I33" s="1497"/>
      <c r="J33" s="1497"/>
      <c r="K33" s="1497"/>
      <c r="L33" s="968">
        <f>ROUND(SUM(L29:L32),4)</f>
        <v>65.645200000000003</v>
      </c>
    </row>
    <row r="34" spans="1:12" x14ac:dyDescent="0.2">
      <c r="A34" s="930"/>
      <c r="B34" s="930"/>
      <c r="C34" s="930"/>
      <c r="D34" s="930"/>
      <c r="E34" s="930"/>
      <c r="F34" s="930"/>
      <c r="G34" s="930"/>
      <c r="H34" s="930"/>
      <c r="I34" s="930"/>
      <c r="J34" s="1023"/>
      <c r="K34" s="1023"/>
      <c r="L34" s="1261"/>
    </row>
    <row r="35" spans="1:12" x14ac:dyDescent="0.2">
      <c r="A35" s="930"/>
      <c r="B35" s="930"/>
      <c r="C35" s="930"/>
      <c r="D35" s="930"/>
      <c r="E35" s="930"/>
      <c r="F35" s="930"/>
      <c r="G35" s="930"/>
      <c r="H35" s="930"/>
      <c r="I35" s="930"/>
      <c r="J35" s="1023"/>
      <c r="K35" s="1100" t="s">
        <v>491</v>
      </c>
      <c r="L35" s="1260">
        <f>L25+L33</f>
        <v>263.95370000000003</v>
      </c>
    </row>
    <row r="36" spans="1:12" x14ac:dyDescent="0.2">
      <c r="A36" s="1102" t="s">
        <v>492</v>
      </c>
      <c r="B36" s="930"/>
      <c r="C36" s="930"/>
      <c r="D36" s="930"/>
      <c r="E36" s="930"/>
      <c r="F36" s="1103">
        <v>1.556</v>
      </c>
      <c r="G36" s="1257" t="str">
        <f>L18</f>
        <v>m</v>
      </c>
      <c r="H36" s="1102"/>
      <c r="I36" s="930"/>
      <c r="J36" s="1105"/>
      <c r="K36" s="1106" t="s">
        <v>493</v>
      </c>
      <c r="L36" s="1035">
        <f>ROUND(L35/F36,4)</f>
        <v>169.6361</v>
      </c>
    </row>
    <row r="37" spans="1:12" x14ac:dyDescent="0.2">
      <c r="A37" s="1102"/>
      <c r="B37" s="930" t="s">
        <v>494</v>
      </c>
      <c r="C37" s="930"/>
      <c r="D37" s="930"/>
      <c r="E37" s="930"/>
      <c r="F37" s="1103"/>
      <c r="G37" s="1104"/>
      <c r="H37" s="1102"/>
      <c r="I37" s="930"/>
      <c r="J37" s="1105"/>
      <c r="K37" s="1100" t="s">
        <v>495</v>
      </c>
      <c r="L37" s="1035">
        <f>ROUND(L36*F37,4)</f>
        <v>0</v>
      </c>
    </row>
    <row r="38" spans="1:12" x14ac:dyDescent="0.2">
      <c r="A38" s="1102"/>
      <c r="B38" s="930" t="s">
        <v>496</v>
      </c>
      <c r="C38" s="930"/>
      <c r="D38" s="930"/>
      <c r="E38" s="930"/>
      <c r="F38" s="1202"/>
      <c r="G38" s="1104"/>
      <c r="H38" s="1105"/>
      <c r="I38" s="1107"/>
      <c r="J38" s="1023"/>
      <c r="K38" s="1100" t="s">
        <v>497</v>
      </c>
      <c r="L38" s="968">
        <f>ROUND(L36*F38,4)</f>
        <v>0</v>
      </c>
    </row>
    <row r="39" spans="1:12" x14ac:dyDescent="0.2">
      <c r="A39" s="930"/>
      <c r="B39" s="930"/>
      <c r="C39" s="930"/>
      <c r="D39" s="930"/>
      <c r="E39" s="930"/>
      <c r="F39" s="930"/>
      <c r="G39" s="930"/>
      <c r="H39" s="930"/>
      <c r="I39" s="930"/>
      <c r="J39" s="1023"/>
      <c r="K39" s="1023"/>
      <c r="L39" s="1261"/>
    </row>
    <row r="40" spans="1:12" x14ac:dyDescent="0.2">
      <c r="A40" s="1462" t="s">
        <v>498</v>
      </c>
      <c r="B40" s="1462"/>
      <c r="C40" s="1462"/>
      <c r="D40" s="1462"/>
      <c r="E40" s="1462"/>
      <c r="F40" s="1462"/>
      <c r="G40" s="1462"/>
      <c r="H40" s="1462"/>
      <c r="I40" s="1456" t="s">
        <v>499</v>
      </c>
      <c r="J40" s="1456"/>
      <c r="K40" s="1456"/>
      <c r="L40" s="1208">
        <f>ROUND(SUM(L36:L39),4)</f>
        <v>169.6361</v>
      </c>
    </row>
    <row r="41" spans="1:12" x14ac:dyDescent="0.2">
      <c r="A41" s="910"/>
      <c r="B41" s="910"/>
      <c r="C41" s="910"/>
      <c r="D41" s="910"/>
      <c r="E41" s="910"/>
      <c r="F41" s="910"/>
      <c r="G41" s="1109"/>
      <c r="H41" s="1109"/>
      <c r="I41" s="933"/>
      <c r="J41" s="933"/>
      <c r="K41" s="933"/>
      <c r="L41" s="910"/>
    </row>
    <row r="42" spans="1:12" x14ac:dyDescent="0.2">
      <c r="A42" s="1462" t="s">
        <v>500</v>
      </c>
      <c r="B42" s="1462"/>
      <c r="C42" s="1462"/>
      <c r="D42" s="1462"/>
      <c r="E42" s="1462"/>
      <c r="F42" s="1462"/>
      <c r="G42" s="1462"/>
      <c r="H42" s="1460" t="s">
        <v>166</v>
      </c>
      <c r="I42" s="1460"/>
      <c r="J42" s="1460" t="s">
        <v>165</v>
      </c>
      <c r="K42" s="1076" t="s">
        <v>501</v>
      </c>
      <c r="L42" s="1076" t="s">
        <v>484</v>
      </c>
    </row>
    <row r="43" spans="1:12" x14ac:dyDescent="0.2">
      <c r="A43" s="1462"/>
      <c r="B43" s="1462"/>
      <c r="C43" s="1462"/>
      <c r="D43" s="1462"/>
      <c r="E43" s="1462"/>
      <c r="F43" s="1462"/>
      <c r="G43" s="1462"/>
      <c r="H43" s="1460"/>
      <c r="I43" s="1460"/>
      <c r="J43" s="1460"/>
      <c r="K43" s="1110" t="s">
        <v>451</v>
      </c>
      <c r="L43" s="1026" t="s">
        <v>451</v>
      </c>
    </row>
    <row r="44" spans="1:12" x14ac:dyDescent="0.2">
      <c r="A44" s="1278" t="s">
        <v>379</v>
      </c>
      <c r="B44" s="1279" t="s">
        <v>770</v>
      </c>
      <c r="C44" s="1050" t="s">
        <v>442</v>
      </c>
      <c r="D44" s="1527" t="s">
        <v>771</v>
      </c>
      <c r="E44" s="1527"/>
      <c r="F44" s="1527"/>
      <c r="G44" s="1527"/>
      <c r="H44" s="1521">
        <v>2</v>
      </c>
      <c r="I44" s="1521"/>
      <c r="J44" s="1280" t="s">
        <v>135</v>
      </c>
      <c r="K44" s="1091">
        <v>230.53620000000001</v>
      </c>
      <c r="L44" s="1164">
        <f t="shared" ref="L44:L49" si="0">ROUND(H44*K44,4)</f>
        <v>461.07240000000002</v>
      </c>
    </row>
    <row r="45" spans="1:12" ht="21" customHeight="1" x14ac:dyDescent="0.2">
      <c r="A45" s="1537" t="s">
        <v>764</v>
      </c>
      <c r="B45" s="1537"/>
      <c r="C45" s="979" t="s">
        <v>442</v>
      </c>
      <c r="D45" s="1519" t="s">
        <v>765</v>
      </c>
      <c r="E45" s="1519"/>
      <c r="F45" s="1519"/>
      <c r="G45" s="1519"/>
      <c r="H45" s="1495">
        <v>0.3</v>
      </c>
      <c r="I45" s="1495"/>
      <c r="J45" s="1113" t="s">
        <v>482</v>
      </c>
      <c r="K45" s="1044">
        <v>77.88</v>
      </c>
      <c r="L45" s="986">
        <f t="shared" si="0"/>
        <v>23.364000000000001</v>
      </c>
    </row>
    <row r="46" spans="1:12" ht="20.25" customHeight="1" x14ac:dyDescent="0.2">
      <c r="A46" s="1537" t="s">
        <v>766</v>
      </c>
      <c r="B46" s="1537"/>
      <c r="C46" s="979" t="s">
        <v>442</v>
      </c>
      <c r="D46" s="1525" t="s">
        <v>767</v>
      </c>
      <c r="E46" s="1525"/>
      <c r="F46" s="1525"/>
      <c r="G46" s="1525"/>
      <c r="H46" s="1495">
        <v>1.1860000000000001E-2</v>
      </c>
      <c r="I46" s="1495"/>
      <c r="J46" s="1113" t="s">
        <v>581</v>
      </c>
      <c r="K46" s="1044">
        <v>356.19</v>
      </c>
      <c r="L46" s="986">
        <f t="shared" si="0"/>
        <v>4.2244000000000002</v>
      </c>
    </row>
    <row r="47" spans="1:12" ht="20.25" customHeight="1" x14ac:dyDescent="0.2">
      <c r="A47" s="1537" t="s">
        <v>768</v>
      </c>
      <c r="B47" s="1537"/>
      <c r="C47" s="979" t="s">
        <v>442</v>
      </c>
      <c r="D47" s="1519" t="s">
        <v>769</v>
      </c>
      <c r="E47" s="1519"/>
      <c r="F47" s="1519"/>
      <c r="G47" s="1519"/>
      <c r="H47" s="1495">
        <v>0.67679999999999996</v>
      </c>
      <c r="I47" s="1495"/>
      <c r="J47" s="1113" t="s">
        <v>581</v>
      </c>
      <c r="K47" s="1044">
        <v>328.93</v>
      </c>
      <c r="L47" s="986">
        <f t="shared" si="0"/>
        <v>222.6198</v>
      </c>
    </row>
    <row r="48" spans="1:12" x14ac:dyDescent="0.2">
      <c r="A48" s="1275"/>
      <c r="B48" s="1281"/>
      <c r="C48" s="979"/>
      <c r="D48" s="942"/>
      <c r="E48" s="942"/>
      <c r="F48" s="942"/>
      <c r="G48" s="1144"/>
      <c r="H48" s="1152"/>
      <c r="I48" s="1080"/>
      <c r="J48" s="1113"/>
      <c r="K48" s="1044"/>
      <c r="L48" s="986">
        <f t="shared" si="0"/>
        <v>0</v>
      </c>
    </row>
    <row r="49" spans="1:12" x14ac:dyDescent="0.2">
      <c r="A49" s="1282"/>
      <c r="B49" s="1283"/>
      <c r="C49" s="1077"/>
      <c r="D49" s="1540"/>
      <c r="E49" s="1540"/>
      <c r="F49" s="1540"/>
      <c r="G49" s="1540"/>
      <c r="H49" s="1512"/>
      <c r="I49" s="1512"/>
      <c r="J49" s="1284"/>
      <c r="K49" s="1285"/>
      <c r="L49" s="1098">
        <f t="shared" si="0"/>
        <v>0</v>
      </c>
    </row>
    <row r="50" spans="1:12" x14ac:dyDescent="0.2">
      <c r="A50" s="1541" t="s">
        <v>502</v>
      </c>
      <c r="B50" s="1541"/>
      <c r="C50" s="1541"/>
      <c r="D50" s="1541"/>
      <c r="E50" s="1541"/>
      <c r="F50" s="1541"/>
      <c r="G50" s="1541"/>
      <c r="H50" s="1541"/>
      <c r="I50" s="1541"/>
      <c r="J50" s="1541"/>
      <c r="K50" s="1541"/>
      <c r="L50" s="1025">
        <f>ROUND(SUM(L44:L49),4)</f>
        <v>711.28060000000005</v>
      </c>
    </row>
    <row r="51" spans="1:12" x14ac:dyDescent="0.2">
      <c r="A51" s="1541"/>
      <c r="B51" s="1541"/>
      <c r="C51" s="1541"/>
      <c r="D51" s="1541"/>
      <c r="E51" s="1541"/>
      <c r="F51" s="1541"/>
      <c r="G51" s="1541"/>
      <c r="H51" s="1541"/>
      <c r="I51" s="1541"/>
      <c r="J51" s="1541"/>
      <c r="K51" s="1541"/>
      <c r="L51" s="1118"/>
    </row>
    <row r="52" spans="1:12" ht="13.9" customHeight="1" x14ac:dyDescent="0.2">
      <c r="A52" s="1462" t="s">
        <v>503</v>
      </c>
      <c r="B52" s="1462"/>
      <c r="C52" s="1462"/>
      <c r="D52" s="1462"/>
      <c r="E52" s="1462"/>
      <c r="F52" s="1462"/>
      <c r="G52" s="1452" t="s">
        <v>504</v>
      </c>
      <c r="H52" s="1460" t="s">
        <v>505</v>
      </c>
      <c r="I52" s="1460"/>
      <c r="J52" s="1460"/>
      <c r="K52" s="1460"/>
      <c r="L52" s="1460" t="s">
        <v>506</v>
      </c>
    </row>
    <row r="53" spans="1:12" x14ac:dyDescent="0.2">
      <c r="A53" s="1462"/>
      <c r="B53" s="1462"/>
      <c r="C53" s="1462"/>
      <c r="D53" s="1462"/>
      <c r="E53" s="1462"/>
      <c r="F53" s="1462"/>
      <c r="G53" s="1452"/>
      <c r="H53" s="944" t="s">
        <v>112</v>
      </c>
      <c r="I53" s="1095" t="s">
        <v>380</v>
      </c>
      <c r="J53" s="1026" t="s">
        <v>383</v>
      </c>
      <c r="K53" s="1110" t="s">
        <v>385</v>
      </c>
      <c r="L53" s="1460"/>
    </row>
    <row r="54" spans="1:12" x14ac:dyDescent="0.2">
      <c r="A54" s="1462"/>
      <c r="B54" s="1462"/>
      <c r="C54" s="1462"/>
      <c r="D54" s="1462"/>
      <c r="E54" s="1462"/>
      <c r="F54" s="1462"/>
      <c r="G54" s="1452"/>
      <c r="H54" s="943" t="s">
        <v>507</v>
      </c>
      <c r="I54" s="1119"/>
      <c r="J54" s="1119"/>
      <c r="K54" s="1119"/>
      <c r="L54" s="1460"/>
    </row>
    <row r="55" spans="1:12" ht="13.9" customHeight="1" x14ac:dyDescent="0.2">
      <c r="A55" s="1539" t="str">
        <f>A44</f>
        <v>DNIT –</v>
      </c>
      <c r="B55" s="1489" t="str">
        <f>B44</f>
        <v>M2175</v>
      </c>
      <c r="C55" s="1490" t="s">
        <v>442</v>
      </c>
      <c r="D55" s="1502" t="str">
        <f>D44</f>
        <v>Tubo de concreto armado PA 1 - D = 1,00 m</v>
      </c>
      <c r="E55" s="1502"/>
      <c r="F55" s="1503" t="s">
        <v>602</v>
      </c>
      <c r="G55" s="1493">
        <f>ROUND(770*2/1000,5)</f>
        <v>1.54</v>
      </c>
      <c r="H55" s="1120" t="s">
        <v>508</v>
      </c>
      <c r="I55" s="1121">
        <v>5914584</v>
      </c>
      <c r="J55" s="1121">
        <v>5914599</v>
      </c>
      <c r="K55" s="1121">
        <v>5914614</v>
      </c>
      <c r="L55" s="1494">
        <f>ROUND(G55*($I$54*I56+$J$54*J56+$K$54*K56),4)</f>
        <v>0</v>
      </c>
    </row>
    <row r="56" spans="1:12" x14ac:dyDescent="0.2">
      <c r="A56" s="1539"/>
      <c r="B56" s="1489"/>
      <c r="C56" s="1490"/>
      <c r="D56" s="1502"/>
      <c r="E56" s="1502"/>
      <c r="F56" s="1503"/>
      <c r="G56" s="1493"/>
      <c r="H56" s="1122" t="s">
        <v>509</v>
      </c>
      <c r="I56" s="1123">
        <v>1.79</v>
      </c>
      <c r="J56" s="1123">
        <v>1.43</v>
      </c>
      <c r="K56" s="1123">
        <v>1.1399999999999999</v>
      </c>
      <c r="L56" s="1494"/>
    </row>
    <row r="57" spans="1:12" x14ac:dyDescent="0.2">
      <c r="A57" s="1149"/>
      <c r="B57" s="1150"/>
      <c r="C57" s="979"/>
      <c r="D57" s="1519"/>
      <c r="E57" s="1519"/>
      <c r="F57" s="1519"/>
      <c r="G57" s="1112"/>
      <c r="H57" s="1286"/>
      <c r="I57" s="1286"/>
      <c r="J57" s="1137"/>
      <c r="K57" s="1287"/>
      <c r="L57" s="1138"/>
    </row>
    <row r="58" spans="1:12" x14ac:dyDescent="0.2">
      <c r="A58" s="1082"/>
      <c r="B58" s="942"/>
      <c r="C58" s="979"/>
      <c r="D58" s="1083"/>
      <c r="E58" s="1083"/>
      <c r="F58" s="1083"/>
      <c r="G58" s="1096"/>
      <c r="H58" s="1288"/>
      <c r="I58" s="1288"/>
      <c r="J58" s="1137"/>
      <c r="K58" s="1289"/>
      <c r="L58" s="1138"/>
    </row>
    <row r="59" spans="1:12" x14ac:dyDescent="0.2">
      <c r="A59" s="1454" t="s">
        <v>510</v>
      </c>
      <c r="B59" s="1454"/>
      <c r="C59" s="1454"/>
      <c r="D59" s="1454"/>
      <c r="E59" s="1454"/>
      <c r="F59" s="1454"/>
      <c r="G59" s="1454"/>
      <c r="H59" s="1454"/>
      <c r="I59" s="1454"/>
      <c r="J59" s="1454"/>
      <c r="K59" s="1454"/>
      <c r="L59" s="1025">
        <f>ROUND(SUM(L55:L58),4)</f>
        <v>0</v>
      </c>
    </row>
    <row r="60" spans="1:12" x14ac:dyDescent="0.2">
      <c r="A60" s="1049"/>
      <c r="B60" s="1049"/>
      <c r="C60" s="1049"/>
      <c r="D60" s="1049"/>
      <c r="E60" s="1049"/>
      <c r="F60" s="1049"/>
      <c r="G60" s="932"/>
      <c r="H60" s="1050"/>
      <c r="I60" s="1050"/>
      <c r="J60" s="1051"/>
      <c r="K60" s="1052"/>
      <c r="L60" s="1053"/>
    </row>
    <row r="61" spans="1:12" x14ac:dyDescent="0.2">
      <c r="A61" s="1454" t="s">
        <v>460</v>
      </c>
      <c r="B61" s="1454"/>
      <c r="C61" s="1454"/>
      <c r="D61" s="1454"/>
      <c r="E61" s="1454"/>
      <c r="F61" s="1454"/>
      <c r="G61" s="1454"/>
      <c r="H61" s="1454"/>
      <c r="I61" s="1454"/>
      <c r="J61" s="1454"/>
      <c r="K61" s="1454"/>
      <c r="L61" s="1025">
        <f>ROUND(L40+L50+L59,4)</f>
        <v>880.91669999999999</v>
      </c>
    </row>
    <row r="62" spans="1:12" x14ac:dyDescent="0.2">
      <c r="A62" s="1455" t="s">
        <v>461</v>
      </c>
      <c r="B62" s="1455"/>
      <c r="C62" s="1455"/>
      <c r="D62" s="1455"/>
      <c r="E62" s="1455"/>
      <c r="F62" s="1455"/>
      <c r="G62" s="1455"/>
      <c r="H62" s="1455"/>
      <c r="I62" s="1455"/>
      <c r="J62" s="1455"/>
      <c r="K62" s="1055">
        <v>0.25569999999999998</v>
      </c>
      <c r="L62" s="1056">
        <f>ROUND(L61*K62,4)</f>
        <v>225.25040000000001</v>
      </c>
    </row>
    <row r="63" spans="1:12" x14ac:dyDescent="0.2">
      <c r="A63" s="1456" t="s">
        <v>462</v>
      </c>
      <c r="B63" s="1456"/>
      <c r="C63" s="1456"/>
      <c r="D63" s="1456"/>
      <c r="E63" s="1456"/>
      <c r="F63" s="1456"/>
      <c r="G63" s="1456"/>
      <c r="H63" s="1456"/>
      <c r="I63" s="1456"/>
      <c r="J63" s="1456"/>
      <c r="K63" s="1456"/>
      <c r="L63" s="1126">
        <f>ROUND(L61+L62,2)</f>
        <v>1106.17</v>
      </c>
    </row>
    <row r="64" spans="1:12" x14ac:dyDescent="0.2">
      <c r="A64" s="1058"/>
      <c r="B64" s="1058"/>
      <c r="C64" s="1058"/>
      <c r="D64" s="1058"/>
      <c r="E64" s="1058"/>
      <c r="F64" s="1058"/>
      <c r="G64" s="1058"/>
      <c r="H64" s="1058"/>
      <c r="I64" s="1058"/>
      <c r="J64" s="1058"/>
      <c r="K64" s="1058"/>
      <c r="L64" s="1058"/>
    </row>
    <row r="65" spans="1:12" ht="31.5" customHeight="1" x14ac:dyDescent="0.2">
      <c r="A65" s="1059" t="s">
        <v>463</v>
      </c>
      <c r="B65" s="1060"/>
      <c r="C65" s="1518" t="s">
        <v>608</v>
      </c>
      <c r="D65" s="1518"/>
      <c r="E65" s="1518"/>
      <c r="F65" s="1518"/>
      <c r="G65" s="1518"/>
      <c r="H65" s="1518"/>
      <c r="I65" s="1518"/>
      <c r="J65" s="1518"/>
      <c r="K65" s="1518"/>
      <c r="L65" s="1518"/>
    </row>
    <row r="66" spans="1:12" ht="24" customHeight="1" x14ac:dyDescent="0.2">
      <c r="A66" s="1210"/>
      <c r="B66" s="1184"/>
      <c r="C66" s="1519" t="s">
        <v>604</v>
      </c>
      <c r="D66" s="1519"/>
      <c r="E66" s="1519"/>
      <c r="F66" s="1519"/>
      <c r="G66" s="1519"/>
      <c r="H66" s="1519"/>
      <c r="I66" s="1519"/>
      <c r="J66" s="1519"/>
      <c r="K66" s="1519"/>
      <c r="L66" s="1519"/>
    </row>
    <row r="67" spans="1:12" x14ac:dyDescent="0.2">
      <c r="A67" s="1071"/>
      <c r="B67" s="1129"/>
      <c r="C67" s="1129"/>
      <c r="D67" s="1129"/>
      <c r="E67" s="1129"/>
      <c r="F67" s="1129"/>
      <c r="G67" s="1129"/>
      <c r="H67" s="1129"/>
      <c r="I67" s="1129"/>
      <c r="J67" s="1129"/>
      <c r="K67" s="1129"/>
      <c r="L67" s="1254"/>
    </row>
  </sheetData>
  <mergeCells count="62">
    <mergeCell ref="A1:L1"/>
    <mergeCell ref="A2:L2"/>
    <mergeCell ref="A3:L3"/>
    <mergeCell ref="A4:L4"/>
    <mergeCell ref="A5:K5"/>
    <mergeCell ref="A6:K6"/>
    <mergeCell ref="A7:K7"/>
    <mergeCell ref="L7:L8"/>
    <mergeCell ref="A10:L10"/>
    <mergeCell ref="A12:D12"/>
    <mergeCell ref="E12:L12"/>
    <mergeCell ref="A15:L16"/>
    <mergeCell ref="E18:J18"/>
    <mergeCell ref="A20:F21"/>
    <mergeCell ref="G20:G21"/>
    <mergeCell ref="H20:I20"/>
    <mergeCell ref="J20:K20"/>
    <mergeCell ref="D22:F22"/>
    <mergeCell ref="D23:F23"/>
    <mergeCell ref="A25:K25"/>
    <mergeCell ref="A27:I28"/>
    <mergeCell ref="J27:J28"/>
    <mergeCell ref="K27:K28"/>
    <mergeCell ref="D30:I30"/>
    <mergeCell ref="A33:K33"/>
    <mergeCell ref="A40:H40"/>
    <mergeCell ref="I40:K40"/>
    <mergeCell ref="A42:G43"/>
    <mergeCell ref="H42:I43"/>
    <mergeCell ref="J42:J43"/>
    <mergeCell ref="D44:G44"/>
    <mergeCell ref="H44:I44"/>
    <mergeCell ref="A45:B45"/>
    <mergeCell ref="D45:G45"/>
    <mergeCell ref="H45:I45"/>
    <mergeCell ref="A46:B46"/>
    <mergeCell ref="D46:G46"/>
    <mergeCell ref="H46:I46"/>
    <mergeCell ref="A47:B47"/>
    <mergeCell ref="D47:G47"/>
    <mergeCell ref="H47:I47"/>
    <mergeCell ref="D49:G49"/>
    <mergeCell ref="H49:I49"/>
    <mergeCell ref="A50:K51"/>
    <mergeCell ref="A52:F54"/>
    <mergeCell ref="G52:G54"/>
    <mergeCell ref="H52:K52"/>
    <mergeCell ref="L52:L54"/>
    <mergeCell ref="A55:A56"/>
    <mergeCell ref="B55:B56"/>
    <mergeCell ref="C55:C56"/>
    <mergeCell ref="D55:E56"/>
    <mergeCell ref="F55:F56"/>
    <mergeCell ref="G55:G56"/>
    <mergeCell ref="L55:L56"/>
    <mergeCell ref="C65:L65"/>
    <mergeCell ref="C66:L66"/>
    <mergeCell ref="D57:F57"/>
    <mergeCell ref="A59:K59"/>
    <mergeCell ref="A61:K61"/>
    <mergeCell ref="A62:J62"/>
    <mergeCell ref="A63:K63"/>
  </mergeCells>
  <dataValidations count="1">
    <dataValidation allowBlank="1" showInputMessage="1" showErrorMessage="1" prompt="Clique duas vezes sobre o número do item para ser direcionado à Planilha Orçamentária." sqref="D18" xr:uid="{00000000-0002-0000-1900-000000000000}">
      <formula1>0</formula1>
      <formula2>0</formula2>
    </dataValidation>
  </dataValidations>
  <printOptions horizontalCentered="1" verticalCentered="1"/>
  <pageMargins left="0.51180555555555496" right="0.51180555555555496" top="0.78749999999999998" bottom="0.78749999999999998" header="0.51180555555555496" footer="0.51180555555555496"/>
  <pageSetup paperSize="9" scale="74" firstPageNumber="0"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68"/>
  <sheetViews>
    <sheetView topLeftCell="A46" zoomScale="83" zoomScaleNormal="83" workbookViewId="0">
      <selection activeCell="P139" sqref="P139"/>
    </sheetView>
  </sheetViews>
  <sheetFormatPr defaultRowHeight="15" x14ac:dyDescent="0.2"/>
  <cols>
    <col min="1" max="2" width="7.6640625" style="902" customWidth="1"/>
    <col min="3" max="3" width="1.4765625" style="902" customWidth="1"/>
    <col min="4" max="4" width="3.765625" style="902" customWidth="1"/>
    <col min="5" max="5" width="23.67578125" style="902" customWidth="1"/>
    <col min="6" max="6" width="12.64453125" style="902" customWidth="1"/>
    <col min="7" max="7" width="8.7421875" style="902" customWidth="1"/>
    <col min="8" max="8" width="9.81640625" style="902" customWidth="1"/>
    <col min="9" max="11" width="8.7421875" style="902" customWidth="1"/>
    <col min="12" max="12" width="10.76171875" style="902" customWidth="1"/>
    <col min="13" max="1025" width="8.7421875" customWidth="1"/>
  </cols>
  <sheetData>
    <row r="1" spans="1:12" x14ac:dyDescent="0.2">
      <c r="A1" s="1474"/>
      <c r="B1" s="1474"/>
      <c r="C1" s="1474"/>
      <c r="D1" s="1474"/>
      <c r="E1" s="1474"/>
      <c r="F1" s="1474"/>
      <c r="G1" s="1474"/>
      <c r="H1" s="1474"/>
      <c r="I1" s="1474"/>
      <c r="J1" s="1474"/>
      <c r="K1" s="1474"/>
      <c r="L1" s="1474"/>
    </row>
    <row r="2" spans="1:12" x14ac:dyDescent="0.2">
      <c r="A2" s="1475" t="s">
        <v>629</v>
      </c>
      <c r="B2" s="1475"/>
      <c r="C2" s="1475"/>
      <c r="D2" s="1475"/>
      <c r="E2" s="1475"/>
      <c r="F2" s="1475"/>
      <c r="G2" s="1475"/>
      <c r="H2" s="1475"/>
      <c r="I2" s="1475"/>
      <c r="J2" s="1475"/>
      <c r="K2" s="1475"/>
      <c r="L2" s="1475"/>
    </row>
    <row r="3" spans="1:12" x14ac:dyDescent="0.2">
      <c r="A3" s="1474"/>
      <c r="B3" s="1474"/>
      <c r="C3" s="1474"/>
      <c r="D3" s="1474"/>
      <c r="E3" s="1474"/>
      <c r="F3" s="1474"/>
      <c r="G3" s="1474"/>
      <c r="H3" s="1474"/>
      <c r="I3" s="1474"/>
      <c r="J3" s="1474"/>
      <c r="K3" s="1474"/>
      <c r="L3" s="1474"/>
    </row>
    <row r="4" spans="1:12" x14ac:dyDescent="0.2">
      <c r="A4" s="1476"/>
      <c r="B4" s="1476"/>
      <c r="C4" s="1476"/>
      <c r="D4" s="1476"/>
      <c r="E4" s="1476"/>
      <c r="F4" s="1476"/>
      <c r="G4" s="1476"/>
      <c r="H4" s="1476"/>
      <c r="I4" s="1476"/>
      <c r="J4" s="1476"/>
      <c r="K4" s="1476"/>
      <c r="L4" s="1476"/>
    </row>
    <row r="5" spans="1:12" x14ac:dyDescent="0.2">
      <c r="A5" s="1477"/>
      <c r="B5" s="1477"/>
      <c r="C5" s="1477"/>
      <c r="D5" s="1477"/>
      <c r="E5" s="1477"/>
      <c r="F5" s="1477"/>
      <c r="G5" s="1477"/>
      <c r="H5" s="1477"/>
      <c r="I5" s="1477"/>
      <c r="J5" s="1477"/>
      <c r="K5" s="1477"/>
      <c r="L5" s="903" t="s">
        <v>419</v>
      </c>
    </row>
    <row r="6" spans="1:12" x14ac:dyDescent="0.2">
      <c r="A6" s="1469"/>
      <c r="B6" s="1469"/>
      <c r="C6" s="1469"/>
      <c r="D6" s="1469"/>
      <c r="E6" s="1469"/>
      <c r="F6" s="1469"/>
      <c r="G6" s="1469"/>
      <c r="H6" s="1469"/>
      <c r="I6" s="1469"/>
      <c r="J6" s="1469"/>
      <c r="K6" s="1469"/>
      <c r="L6" s="1075"/>
    </row>
    <row r="7" spans="1:12" ht="13.9" customHeight="1" x14ac:dyDescent="0.2">
      <c r="A7" s="1469"/>
      <c r="B7" s="1469"/>
      <c r="C7" s="1469"/>
      <c r="D7" s="1469"/>
      <c r="E7" s="1469"/>
      <c r="F7" s="1469"/>
      <c r="G7" s="1469"/>
      <c r="H7" s="1469"/>
      <c r="I7" s="1469"/>
      <c r="J7" s="1469"/>
      <c r="K7" s="1469"/>
      <c r="L7" s="1470" t="s">
        <v>207</v>
      </c>
    </row>
    <row r="8" spans="1:12" x14ac:dyDescent="0.2">
      <c r="A8" s="904"/>
      <c r="B8" s="905"/>
      <c r="C8" s="906"/>
      <c r="D8" s="907"/>
      <c r="E8" s="908"/>
      <c r="F8" s="906"/>
      <c r="G8" s="906"/>
      <c r="H8" s="906"/>
      <c r="I8" s="906"/>
      <c r="J8" s="906"/>
      <c r="K8" s="909"/>
      <c r="L8" s="1470"/>
    </row>
    <row r="9" spans="1:12" x14ac:dyDescent="0.2">
      <c r="A9" s="910"/>
      <c r="B9" s="910"/>
      <c r="C9" s="911"/>
      <c r="D9" s="912"/>
      <c r="E9" s="912"/>
      <c r="F9" s="913"/>
      <c r="G9" s="913"/>
      <c r="H9" s="913"/>
      <c r="I9" s="913"/>
      <c r="J9" s="913"/>
      <c r="K9" s="913"/>
      <c r="L9" s="914"/>
    </row>
    <row r="10" spans="1:12" x14ac:dyDescent="0.2">
      <c r="A10" s="1471"/>
      <c r="B10" s="1471"/>
      <c r="C10" s="1471"/>
      <c r="D10" s="1471"/>
      <c r="E10" s="1471"/>
      <c r="F10" s="1471"/>
      <c r="G10" s="1471"/>
      <c r="H10" s="1471"/>
      <c r="I10" s="1471"/>
      <c r="J10" s="1471"/>
      <c r="K10" s="1471"/>
      <c r="L10" s="1471"/>
    </row>
    <row r="11" spans="1:12" x14ac:dyDescent="0.2">
      <c r="A11" s="915"/>
      <c r="B11" s="912"/>
      <c r="C11" s="911"/>
      <c r="D11" s="912"/>
      <c r="E11" s="911"/>
      <c r="F11" s="911"/>
      <c r="G11" s="911"/>
      <c r="H11" s="911"/>
      <c r="I11" s="911"/>
      <c r="J11" s="911"/>
      <c r="K11" s="911"/>
      <c r="L11" s="916"/>
    </row>
    <row r="12" spans="1:12" x14ac:dyDescent="0.2">
      <c r="A12" s="1472" t="s">
        <v>421</v>
      </c>
      <c r="B12" s="1472"/>
      <c r="C12" s="1472"/>
      <c r="D12" s="1472"/>
      <c r="E12" s="1542" t="s">
        <v>648</v>
      </c>
      <c r="F12" s="1542"/>
      <c r="G12" s="1542"/>
      <c r="H12" s="1542"/>
      <c r="I12" s="1542"/>
      <c r="J12" s="1542"/>
      <c r="K12" s="1542"/>
      <c r="L12" s="1542"/>
    </row>
    <row r="13" spans="1:12" x14ac:dyDescent="0.2">
      <c r="A13" s="920"/>
      <c r="B13" s="907"/>
      <c r="C13" s="921"/>
      <c r="D13" s="907"/>
      <c r="E13" s="907"/>
      <c r="F13" s="906"/>
      <c r="G13" s="906"/>
      <c r="H13" s="906"/>
      <c r="I13" s="906"/>
      <c r="J13" s="906"/>
      <c r="K13" s="906"/>
      <c r="L13" s="922"/>
    </row>
    <row r="14" spans="1:12" x14ac:dyDescent="0.2">
      <c r="A14" s="913"/>
      <c r="B14" s="913"/>
      <c r="C14" s="913"/>
      <c r="D14" s="913"/>
      <c r="E14" s="913"/>
      <c r="F14" s="913"/>
      <c r="G14" s="913"/>
      <c r="H14" s="913"/>
      <c r="I14" s="913"/>
      <c r="J14" s="913"/>
      <c r="K14" s="913"/>
      <c r="L14" s="914"/>
    </row>
    <row r="15" spans="1:12" x14ac:dyDescent="0.2">
      <c r="A15" s="1473" t="s">
        <v>422</v>
      </c>
      <c r="B15" s="1473"/>
      <c r="C15" s="1473"/>
      <c r="D15" s="1473"/>
      <c r="E15" s="1473"/>
      <c r="F15" s="1473"/>
      <c r="G15" s="1473"/>
      <c r="H15" s="1473"/>
      <c r="I15" s="1473"/>
      <c r="J15" s="1473"/>
      <c r="K15" s="1473"/>
      <c r="L15" s="1473"/>
    </row>
    <row r="16" spans="1:12" x14ac:dyDescent="0.2">
      <c r="A16" s="1473"/>
      <c r="B16" s="1473"/>
      <c r="C16" s="1473"/>
      <c r="D16" s="1473"/>
      <c r="E16" s="1473"/>
      <c r="F16" s="1473"/>
      <c r="G16" s="1473"/>
      <c r="H16" s="1473"/>
      <c r="I16" s="1473"/>
      <c r="J16" s="1473"/>
      <c r="K16" s="1473"/>
      <c r="L16" s="1473"/>
    </row>
    <row r="17" spans="1:12" x14ac:dyDescent="0.2">
      <c r="A17" s="923"/>
      <c r="B17" s="923"/>
      <c r="C17" s="923"/>
      <c r="D17" s="923"/>
      <c r="E17" s="923"/>
      <c r="F17" s="923"/>
      <c r="G17" s="923"/>
      <c r="H17" s="923"/>
      <c r="I17" s="923"/>
      <c r="J17" s="923"/>
      <c r="K17" s="923"/>
      <c r="L17" s="923"/>
    </row>
    <row r="18" spans="1:12" x14ac:dyDescent="0.2">
      <c r="A18" s="924" t="s">
        <v>423</v>
      </c>
      <c r="B18" s="925"/>
      <c r="C18" s="925"/>
      <c r="D18" s="926" t="s">
        <v>207</v>
      </c>
      <c r="E18" s="1290" t="s">
        <v>609</v>
      </c>
      <c r="F18" s="1291"/>
      <c r="G18" s="1290"/>
      <c r="H18" s="1291"/>
      <c r="I18" s="1291"/>
      <c r="J18" s="1292"/>
      <c r="K18" s="928" t="s">
        <v>425</v>
      </c>
      <c r="L18" s="929" t="s">
        <v>426</v>
      </c>
    </row>
    <row r="19" spans="1:12" x14ac:dyDescent="0.2">
      <c r="A19" s="910"/>
      <c r="B19" s="910"/>
      <c r="C19" s="910"/>
      <c r="D19" s="910"/>
      <c r="E19" s="910"/>
      <c r="F19" s="910"/>
      <c r="G19" s="910"/>
      <c r="H19" s="910"/>
      <c r="I19" s="910"/>
      <c r="J19" s="910"/>
      <c r="K19" s="910"/>
      <c r="L19" s="910"/>
    </row>
    <row r="20" spans="1:12" x14ac:dyDescent="0.2">
      <c r="A20" s="1462" t="s">
        <v>434</v>
      </c>
      <c r="B20" s="1462"/>
      <c r="C20" s="1462"/>
      <c r="D20" s="1462"/>
      <c r="E20" s="1462"/>
      <c r="F20" s="1462"/>
      <c r="G20" s="1460" t="s">
        <v>166</v>
      </c>
      <c r="H20" s="1460" t="s">
        <v>362</v>
      </c>
      <c r="I20" s="1460"/>
      <c r="J20" s="1500" t="s">
        <v>483</v>
      </c>
      <c r="K20" s="1500"/>
      <c r="L20" s="1076" t="s">
        <v>484</v>
      </c>
    </row>
    <row r="21" spans="1:12" x14ac:dyDescent="0.2">
      <c r="A21" s="1462"/>
      <c r="B21" s="1462"/>
      <c r="C21" s="1462"/>
      <c r="D21" s="1462"/>
      <c r="E21" s="1462"/>
      <c r="F21" s="1462"/>
      <c r="G21" s="1460"/>
      <c r="H21" s="943" t="s">
        <v>485</v>
      </c>
      <c r="I21" s="1077" t="s">
        <v>486</v>
      </c>
      <c r="J21" s="943" t="s">
        <v>485</v>
      </c>
      <c r="K21" s="1077" t="s">
        <v>486</v>
      </c>
      <c r="L21" s="1026" t="s">
        <v>487</v>
      </c>
    </row>
    <row r="22" spans="1:12" x14ac:dyDescent="0.2">
      <c r="A22" s="1043"/>
      <c r="B22" s="1131"/>
      <c r="C22" s="979"/>
      <c r="D22" s="1520"/>
      <c r="E22" s="1520"/>
      <c r="F22" s="1520"/>
      <c r="G22" s="1112"/>
      <c r="H22" s="1116"/>
      <c r="I22" s="961"/>
      <c r="J22" s="986"/>
      <c r="K22" s="986"/>
      <c r="L22" s="986">
        <f>ROUND((G22*H22*J22)+(G22*I22*K22),4)</f>
        <v>0</v>
      </c>
    </row>
    <row r="23" spans="1:12" x14ac:dyDescent="0.2">
      <c r="A23" s="1043"/>
      <c r="B23" s="1130"/>
      <c r="C23" s="979"/>
      <c r="D23" s="1479"/>
      <c r="E23" s="1479"/>
      <c r="F23" s="1479"/>
      <c r="G23" s="1112"/>
      <c r="H23" s="1116"/>
      <c r="I23" s="961"/>
      <c r="J23" s="986"/>
      <c r="K23" s="986"/>
      <c r="L23" s="986">
        <f>ROUND((G23*H23*J23)+(G23*I23*K23),4)</f>
        <v>0</v>
      </c>
    </row>
    <row r="24" spans="1:12" x14ac:dyDescent="0.2">
      <c r="A24" s="1043"/>
      <c r="B24" s="1130"/>
      <c r="C24" s="979"/>
      <c r="D24" s="1519"/>
      <c r="E24" s="1519"/>
      <c r="F24" s="1519"/>
      <c r="G24" s="1112"/>
      <c r="H24" s="1116"/>
      <c r="I24" s="961"/>
      <c r="J24" s="986"/>
      <c r="K24" s="963"/>
      <c r="L24" s="986">
        <f>ROUND((G24*H24*J24)+(G24*I24*K24),4)</f>
        <v>0</v>
      </c>
    </row>
    <row r="25" spans="1:12" x14ac:dyDescent="0.2">
      <c r="A25" s="1153"/>
      <c r="B25" s="942"/>
      <c r="C25" s="979"/>
      <c r="D25" s="942"/>
      <c r="E25" s="942"/>
      <c r="F25" s="942"/>
      <c r="G25" s="1096"/>
      <c r="H25" s="1116"/>
      <c r="I25" s="961"/>
      <c r="J25" s="1086"/>
      <c r="K25" s="1087"/>
      <c r="L25" s="986">
        <f>ROUND((G25*H25*J25)+(G25*I25*K25),4)</f>
        <v>0</v>
      </c>
    </row>
    <row r="26" spans="1:12" x14ac:dyDescent="0.2">
      <c r="A26" s="1497" t="s">
        <v>488</v>
      </c>
      <c r="B26" s="1497"/>
      <c r="C26" s="1497"/>
      <c r="D26" s="1497"/>
      <c r="E26" s="1497"/>
      <c r="F26" s="1497"/>
      <c r="G26" s="1497"/>
      <c r="H26" s="1497"/>
      <c r="I26" s="1497"/>
      <c r="J26" s="1497"/>
      <c r="K26" s="1497"/>
      <c r="L26" s="1035">
        <f>ROUND(SUM(L22:L25),4)</f>
        <v>0</v>
      </c>
    </row>
    <row r="27" spans="1:12" x14ac:dyDescent="0.2">
      <c r="A27" s="930"/>
      <c r="B27" s="930"/>
      <c r="C27" s="930"/>
      <c r="D27" s="930"/>
      <c r="E27" s="930"/>
      <c r="F27" s="930"/>
      <c r="G27" s="930"/>
      <c r="H27" s="1023"/>
      <c r="I27" s="1023"/>
      <c r="J27" s="1023"/>
      <c r="K27" s="1023"/>
      <c r="L27" s="1023"/>
    </row>
    <row r="28" spans="1:12" ht="13.9" customHeight="1" x14ac:dyDescent="0.2">
      <c r="A28" s="1462" t="s">
        <v>447</v>
      </c>
      <c r="B28" s="1462"/>
      <c r="C28" s="1462"/>
      <c r="D28" s="1462"/>
      <c r="E28" s="1462"/>
      <c r="F28" s="1462"/>
      <c r="G28" s="1462"/>
      <c r="H28" s="1462"/>
      <c r="I28" s="1462"/>
      <c r="J28" s="1460" t="s">
        <v>166</v>
      </c>
      <c r="K28" s="1452" t="s">
        <v>489</v>
      </c>
      <c r="L28" s="1076" t="s">
        <v>449</v>
      </c>
    </row>
    <row r="29" spans="1:12" x14ac:dyDescent="0.2">
      <c r="A29" s="1462"/>
      <c r="B29" s="1462"/>
      <c r="C29" s="1462"/>
      <c r="D29" s="1462"/>
      <c r="E29" s="1462"/>
      <c r="F29" s="1462"/>
      <c r="G29" s="1462"/>
      <c r="H29" s="1462"/>
      <c r="I29" s="1462"/>
      <c r="J29" s="1460"/>
      <c r="K29" s="1452"/>
      <c r="L29" s="1026" t="s">
        <v>487</v>
      </c>
    </row>
    <row r="30" spans="1:12" x14ac:dyDescent="0.2">
      <c r="A30" s="1078"/>
      <c r="B30" s="1130"/>
      <c r="C30" s="979"/>
      <c r="D30" s="1527"/>
      <c r="E30" s="1527"/>
      <c r="F30" s="1527"/>
      <c r="G30" s="1527"/>
      <c r="H30" s="1527"/>
      <c r="I30" s="1527"/>
      <c r="J30" s="1080"/>
      <c r="K30" s="1132"/>
      <c r="L30" s="964">
        <f>ROUND(J30*K30,4)</f>
        <v>0</v>
      </c>
    </row>
    <row r="31" spans="1:12" x14ac:dyDescent="0.2">
      <c r="A31" s="1043"/>
      <c r="B31" s="1130"/>
      <c r="C31" s="979"/>
      <c r="D31" s="942"/>
      <c r="E31" s="942"/>
      <c r="F31" s="942"/>
      <c r="G31" s="942"/>
      <c r="H31" s="942"/>
      <c r="I31" s="1144"/>
      <c r="J31" s="1080"/>
      <c r="K31" s="1020"/>
      <c r="L31" s="1243">
        <f>ROUND(J31*K31,4)</f>
        <v>0</v>
      </c>
    </row>
    <row r="32" spans="1:12" x14ac:dyDescent="0.2">
      <c r="A32" s="1149"/>
      <c r="B32" s="1150"/>
      <c r="C32" s="979"/>
      <c r="D32" s="1525"/>
      <c r="E32" s="1525"/>
      <c r="F32" s="1525"/>
      <c r="G32" s="1525"/>
      <c r="H32" s="1525"/>
      <c r="I32" s="1525"/>
      <c r="J32" s="1080"/>
      <c r="K32" s="1020"/>
      <c r="L32" s="1243">
        <f>ROUND(J32*K32,4)</f>
        <v>0</v>
      </c>
    </row>
    <row r="33" spans="1:12" x14ac:dyDescent="0.2">
      <c r="A33" s="1082"/>
      <c r="B33" s="1083"/>
      <c r="C33" s="1083"/>
      <c r="D33" s="1083"/>
      <c r="E33" s="1083"/>
      <c r="F33" s="1083"/>
      <c r="G33" s="905"/>
      <c r="H33" s="1077"/>
      <c r="I33" s="1095"/>
      <c r="J33" s="1085"/>
      <c r="K33" s="1020"/>
      <c r="L33" s="1243">
        <f>ROUND(J33*K33,4)</f>
        <v>0</v>
      </c>
    </row>
    <row r="34" spans="1:12" x14ac:dyDescent="0.2">
      <c r="A34" s="1497" t="s">
        <v>490</v>
      </c>
      <c r="B34" s="1497"/>
      <c r="C34" s="1497"/>
      <c r="D34" s="1497"/>
      <c r="E34" s="1497"/>
      <c r="F34" s="1497"/>
      <c r="G34" s="1497"/>
      <c r="H34" s="1497"/>
      <c r="I34" s="1497"/>
      <c r="J34" s="1497"/>
      <c r="K34" s="1497"/>
      <c r="L34" s="1035">
        <f>ROUND(SUM(L30:L33),4)</f>
        <v>0</v>
      </c>
    </row>
    <row r="35" spans="1:12" x14ac:dyDescent="0.2">
      <c r="A35" s="930"/>
      <c r="B35" s="930"/>
      <c r="C35" s="930"/>
      <c r="D35" s="930"/>
      <c r="E35" s="930"/>
      <c r="F35" s="930"/>
      <c r="G35" s="930"/>
      <c r="H35" s="930"/>
      <c r="I35" s="930"/>
      <c r="J35" s="1023"/>
      <c r="K35" s="1023"/>
      <c r="L35" s="1099"/>
    </row>
    <row r="36" spans="1:12" x14ac:dyDescent="0.2">
      <c r="A36" s="930"/>
      <c r="B36" s="930"/>
      <c r="C36" s="930"/>
      <c r="D36" s="930"/>
      <c r="E36" s="930"/>
      <c r="F36" s="930"/>
      <c r="G36" s="930"/>
      <c r="H36" s="930"/>
      <c r="I36" s="930"/>
      <c r="J36" s="1023"/>
      <c r="K36" s="1100" t="s">
        <v>491</v>
      </c>
      <c r="L36" s="1260">
        <f>L26+L34</f>
        <v>0</v>
      </c>
    </row>
    <row r="37" spans="1:12" x14ac:dyDescent="0.2">
      <c r="A37" s="1102" t="s">
        <v>492</v>
      </c>
      <c r="B37" s="930"/>
      <c r="C37" s="930"/>
      <c r="D37" s="930"/>
      <c r="E37" s="930"/>
      <c r="F37" s="1103">
        <v>1</v>
      </c>
      <c r="G37" s="1257" t="str">
        <f>L18</f>
        <v xml:space="preserve">un </v>
      </c>
      <c r="H37" s="1102"/>
      <c r="I37" s="930"/>
      <c r="J37" s="1105"/>
      <c r="K37" s="1106" t="s">
        <v>493</v>
      </c>
      <c r="L37" s="1035">
        <f>ROUND(L36/F37,4)</f>
        <v>0</v>
      </c>
    </row>
    <row r="38" spans="1:12" x14ac:dyDescent="0.2">
      <c r="A38" s="1102"/>
      <c r="B38" s="930" t="s">
        <v>494</v>
      </c>
      <c r="C38" s="930"/>
      <c r="D38" s="930"/>
      <c r="E38" s="930"/>
      <c r="F38" s="1103"/>
      <c r="G38" s="1104"/>
      <c r="H38" s="1102"/>
      <c r="I38" s="930"/>
      <c r="J38" s="1105"/>
      <c r="K38" s="1100" t="s">
        <v>495</v>
      </c>
      <c r="L38" s="1035">
        <f>ROUND(L37*F38,4)</f>
        <v>0</v>
      </c>
    </row>
    <row r="39" spans="1:12" x14ac:dyDescent="0.2">
      <c r="A39" s="1102"/>
      <c r="B39" s="930" t="s">
        <v>496</v>
      </c>
      <c r="C39" s="930"/>
      <c r="D39" s="930"/>
      <c r="E39" s="930"/>
      <c r="F39" s="1202"/>
      <c r="G39" s="1104"/>
      <c r="H39" s="1105"/>
      <c r="I39" s="1107"/>
      <c r="J39" s="1023"/>
      <c r="K39" s="1100" t="s">
        <v>497</v>
      </c>
      <c r="L39" s="968">
        <f>ROUND(L37*F39,4)</f>
        <v>0</v>
      </c>
    </row>
    <row r="40" spans="1:12" x14ac:dyDescent="0.2">
      <c r="A40" s="930"/>
      <c r="B40" s="930"/>
      <c r="C40" s="930"/>
      <c r="D40" s="930"/>
      <c r="E40" s="930"/>
      <c r="F40" s="930"/>
      <c r="G40" s="930"/>
      <c r="H40" s="930"/>
      <c r="I40" s="930"/>
      <c r="J40" s="1023"/>
      <c r="K40" s="1023"/>
      <c r="L40" s="1261"/>
    </row>
    <row r="41" spans="1:12" x14ac:dyDescent="0.2">
      <c r="A41" s="1462" t="s">
        <v>498</v>
      </c>
      <c r="B41" s="1462"/>
      <c r="C41" s="1462"/>
      <c r="D41" s="1462"/>
      <c r="E41" s="1462"/>
      <c r="F41" s="1462"/>
      <c r="G41" s="1462"/>
      <c r="H41" s="1462"/>
      <c r="I41" s="1456" t="s">
        <v>499</v>
      </c>
      <c r="J41" s="1456"/>
      <c r="K41" s="1456"/>
      <c r="L41" s="1208">
        <f>ROUND(SUM(L37:L40),4)</f>
        <v>0</v>
      </c>
    </row>
    <row r="42" spans="1:12" x14ac:dyDescent="0.2">
      <c r="A42" s="910"/>
      <c r="B42" s="910"/>
      <c r="C42" s="910"/>
      <c r="D42" s="910"/>
      <c r="E42" s="910"/>
      <c r="F42" s="910"/>
      <c r="G42" s="1109"/>
      <c r="H42" s="1109"/>
      <c r="I42" s="933"/>
      <c r="J42" s="933"/>
      <c r="K42" s="933"/>
      <c r="L42" s="910"/>
    </row>
    <row r="43" spans="1:12" x14ac:dyDescent="0.2">
      <c r="A43" s="1462" t="s">
        <v>500</v>
      </c>
      <c r="B43" s="1462"/>
      <c r="C43" s="1462"/>
      <c r="D43" s="1462"/>
      <c r="E43" s="1462"/>
      <c r="F43" s="1462"/>
      <c r="G43" s="1462"/>
      <c r="H43" s="1460" t="s">
        <v>166</v>
      </c>
      <c r="I43" s="1460"/>
      <c r="J43" s="1460" t="s">
        <v>165</v>
      </c>
      <c r="K43" s="1076" t="s">
        <v>501</v>
      </c>
      <c r="L43" s="1076" t="s">
        <v>484</v>
      </c>
    </row>
    <row r="44" spans="1:12" x14ac:dyDescent="0.2">
      <c r="A44" s="1462"/>
      <c r="B44" s="1462"/>
      <c r="C44" s="1462"/>
      <c r="D44" s="1462"/>
      <c r="E44" s="1462"/>
      <c r="F44" s="1462"/>
      <c r="G44" s="1462"/>
      <c r="H44" s="1460"/>
      <c r="I44" s="1460"/>
      <c r="J44" s="1460"/>
      <c r="K44" s="1110" t="s">
        <v>451</v>
      </c>
      <c r="L44" s="1026" t="s">
        <v>451</v>
      </c>
    </row>
    <row r="45" spans="1:12" ht="25.5" customHeight="1" x14ac:dyDescent="0.2">
      <c r="A45" s="1533" t="s">
        <v>764</v>
      </c>
      <c r="B45" s="1533"/>
      <c r="C45" s="979" t="s">
        <v>442</v>
      </c>
      <c r="D45" s="1479" t="s">
        <v>765</v>
      </c>
      <c r="E45" s="1479"/>
      <c r="F45" s="1479"/>
      <c r="G45" s="1479"/>
      <c r="H45" s="1495">
        <v>4.0641999999999996</v>
      </c>
      <c r="I45" s="1495"/>
      <c r="J45" s="1113" t="s">
        <v>482</v>
      </c>
      <c r="K45" s="1044">
        <v>77.88</v>
      </c>
      <c r="L45" s="986">
        <f>ROUND(H45*K45,4)</f>
        <v>316.51990000000001</v>
      </c>
    </row>
    <row r="46" spans="1:12" ht="22.5" customHeight="1" x14ac:dyDescent="0.2">
      <c r="A46" s="1537" t="s">
        <v>772</v>
      </c>
      <c r="B46" s="1537"/>
      <c r="C46" s="979" t="s">
        <v>442</v>
      </c>
      <c r="D46" s="1525" t="s">
        <v>773</v>
      </c>
      <c r="E46" s="1525"/>
      <c r="F46" s="1525"/>
      <c r="G46" s="1525"/>
      <c r="H46" s="1495">
        <v>2.4750000000000001E-2</v>
      </c>
      <c r="I46" s="1495"/>
      <c r="J46" s="1113" t="s">
        <v>581</v>
      </c>
      <c r="K46" s="1044">
        <v>356.19</v>
      </c>
      <c r="L46" s="986">
        <f>ROUND(H46*K46,4)</f>
        <v>8.8156999999999996</v>
      </c>
    </row>
    <row r="47" spans="1:12" ht="25.5" customHeight="1" x14ac:dyDescent="0.2">
      <c r="A47" s="1537" t="s">
        <v>768</v>
      </c>
      <c r="B47" s="1537"/>
      <c r="C47" s="979" t="s">
        <v>442</v>
      </c>
      <c r="D47" s="1479" t="s">
        <v>769</v>
      </c>
      <c r="E47" s="1479"/>
      <c r="F47" s="1479"/>
      <c r="G47" s="1479"/>
      <c r="H47" s="1495">
        <v>0.43730000000000002</v>
      </c>
      <c r="I47" s="1495"/>
      <c r="J47" s="1113" t="s">
        <v>581</v>
      </c>
      <c r="K47" s="1044">
        <v>328.93</v>
      </c>
      <c r="L47" s="986">
        <f>ROUND(H47*K47,4)</f>
        <v>143.84110000000001</v>
      </c>
    </row>
    <row r="48" spans="1:12" x14ac:dyDescent="0.2">
      <c r="A48" s="1537"/>
      <c r="B48" s="1537"/>
      <c r="C48" s="979"/>
      <c r="D48" s="1525"/>
      <c r="E48" s="1525"/>
      <c r="F48" s="1525"/>
      <c r="G48" s="1525"/>
      <c r="H48" s="1495"/>
      <c r="I48" s="1495"/>
      <c r="J48" s="1113"/>
      <c r="K48" s="1044"/>
      <c r="L48" s="986">
        <f>ROUND(H48*K48,4)</f>
        <v>0</v>
      </c>
    </row>
    <row r="49" spans="1:12" x14ac:dyDescent="0.2">
      <c r="A49" s="1282"/>
      <c r="B49" s="1283"/>
      <c r="C49" s="1077"/>
      <c r="D49" s="1540"/>
      <c r="E49" s="1540"/>
      <c r="F49" s="1540"/>
      <c r="G49" s="1540"/>
      <c r="H49" s="1512"/>
      <c r="I49" s="1512"/>
      <c r="J49" s="1284"/>
      <c r="K49" s="1285"/>
      <c r="L49" s="1098">
        <f>ROUND(H49*K49,4)</f>
        <v>0</v>
      </c>
    </row>
    <row r="50" spans="1:12" x14ac:dyDescent="0.2">
      <c r="A50" s="1541" t="s">
        <v>502</v>
      </c>
      <c r="B50" s="1541"/>
      <c r="C50" s="1541"/>
      <c r="D50" s="1541"/>
      <c r="E50" s="1541"/>
      <c r="F50" s="1541"/>
      <c r="G50" s="1541"/>
      <c r="H50" s="1541"/>
      <c r="I50" s="1541"/>
      <c r="J50" s="1541"/>
      <c r="K50" s="1541"/>
      <c r="L50" s="1025">
        <f>ROUND(SUM(L45:L49),4)</f>
        <v>469.17669999999998</v>
      </c>
    </row>
    <row r="51" spans="1:12" x14ac:dyDescent="0.2">
      <c r="A51" s="1541"/>
      <c r="B51" s="1541"/>
      <c r="C51" s="1541"/>
      <c r="D51" s="1541"/>
      <c r="E51" s="1541"/>
      <c r="F51" s="1541"/>
      <c r="G51" s="1541"/>
      <c r="H51" s="1541"/>
      <c r="I51" s="1541"/>
      <c r="J51" s="1541"/>
      <c r="K51" s="1541"/>
      <c r="L51" s="1118"/>
    </row>
    <row r="52" spans="1:12" ht="13.9" customHeight="1" x14ac:dyDescent="0.2">
      <c r="A52" s="1462" t="s">
        <v>503</v>
      </c>
      <c r="B52" s="1462"/>
      <c r="C52" s="1462"/>
      <c r="D52" s="1462"/>
      <c r="E52" s="1462"/>
      <c r="F52" s="1462"/>
      <c r="G52" s="1452" t="s">
        <v>504</v>
      </c>
      <c r="H52" s="1460" t="s">
        <v>505</v>
      </c>
      <c r="I52" s="1460"/>
      <c r="J52" s="1460"/>
      <c r="K52" s="1460"/>
      <c r="L52" s="1460" t="s">
        <v>506</v>
      </c>
    </row>
    <row r="53" spans="1:12" x14ac:dyDescent="0.2">
      <c r="A53" s="1462"/>
      <c r="B53" s="1462"/>
      <c r="C53" s="1462"/>
      <c r="D53" s="1462"/>
      <c r="E53" s="1462"/>
      <c r="F53" s="1462"/>
      <c r="G53" s="1452"/>
      <c r="H53" s="944" t="s">
        <v>112</v>
      </c>
      <c r="I53" s="1095" t="s">
        <v>380</v>
      </c>
      <c r="J53" s="1026" t="s">
        <v>383</v>
      </c>
      <c r="K53" s="1110" t="s">
        <v>385</v>
      </c>
      <c r="L53" s="1460"/>
    </row>
    <row r="54" spans="1:12" x14ac:dyDescent="0.2">
      <c r="A54" s="1462"/>
      <c r="B54" s="1462"/>
      <c r="C54" s="1462"/>
      <c r="D54" s="1462"/>
      <c r="E54" s="1462"/>
      <c r="F54" s="1462"/>
      <c r="G54" s="1452"/>
      <c r="H54" s="943" t="s">
        <v>507</v>
      </c>
      <c r="I54" s="1119"/>
      <c r="J54" s="1119"/>
      <c r="K54" s="1119"/>
      <c r="L54" s="1460"/>
    </row>
    <row r="55" spans="1:12" x14ac:dyDescent="0.2">
      <c r="A55" s="1539"/>
      <c r="B55" s="1489"/>
      <c r="C55" s="1490"/>
      <c r="D55" s="1502"/>
      <c r="E55" s="1502"/>
      <c r="F55" s="1503"/>
      <c r="G55" s="1493"/>
      <c r="H55" s="1120" t="s">
        <v>508</v>
      </c>
      <c r="I55" s="1293"/>
      <c r="J55" s="1293"/>
      <c r="K55" s="1293"/>
      <c r="L55" s="1494">
        <f>ROUND(G55*($I$54*I56+$J$54*J56+$K$54*K56),4)</f>
        <v>0</v>
      </c>
    </row>
    <row r="56" spans="1:12" x14ac:dyDescent="0.2">
      <c r="A56" s="1539"/>
      <c r="B56" s="1489"/>
      <c r="C56" s="1490"/>
      <c r="D56" s="1502"/>
      <c r="E56" s="1502"/>
      <c r="F56" s="1503"/>
      <c r="G56" s="1493"/>
      <c r="H56" s="1122" t="s">
        <v>509</v>
      </c>
      <c r="I56" s="1294"/>
      <c r="J56" s="1294"/>
      <c r="K56" s="1294"/>
      <c r="L56" s="1494"/>
    </row>
    <row r="57" spans="1:12" x14ac:dyDescent="0.2">
      <c r="A57" s="1149"/>
      <c r="B57" s="1150"/>
      <c r="C57" s="979"/>
      <c r="D57" s="942"/>
      <c r="E57" s="942"/>
      <c r="F57" s="1144"/>
      <c r="G57" s="1112"/>
      <c r="H57" s="1295"/>
      <c r="I57" s="1295"/>
      <c r="J57" s="1137"/>
      <c r="K57" s="1287"/>
      <c r="L57" s="1138"/>
    </row>
    <row r="58" spans="1:12" x14ac:dyDescent="0.2">
      <c r="A58" s="1082"/>
      <c r="B58" s="942"/>
      <c r="C58" s="979"/>
      <c r="D58" s="1083"/>
      <c r="E58" s="1083"/>
      <c r="F58" s="1083"/>
      <c r="G58" s="1096"/>
      <c r="H58" s="1288"/>
      <c r="I58" s="1288"/>
      <c r="J58" s="1137"/>
      <c r="K58" s="1289"/>
      <c r="L58" s="1138"/>
    </row>
    <row r="59" spans="1:12" x14ac:dyDescent="0.2">
      <c r="A59" s="1454" t="s">
        <v>510</v>
      </c>
      <c r="B59" s="1454"/>
      <c r="C59" s="1454"/>
      <c r="D59" s="1454"/>
      <c r="E59" s="1454"/>
      <c r="F59" s="1454"/>
      <c r="G59" s="1454"/>
      <c r="H59" s="1454"/>
      <c r="I59" s="1454"/>
      <c r="J59" s="1454"/>
      <c r="K59" s="1454"/>
      <c r="L59" s="1025">
        <f>ROUND(SUM(L55:L58),4)</f>
        <v>0</v>
      </c>
    </row>
    <row r="60" spans="1:12" x14ac:dyDescent="0.2">
      <c r="A60" s="1049"/>
      <c r="B60" s="1049"/>
      <c r="C60" s="1049"/>
      <c r="D60" s="1049"/>
      <c r="E60" s="1049"/>
      <c r="F60" s="1049"/>
      <c r="G60" s="932"/>
      <c r="H60" s="1050"/>
      <c r="I60" s="1050"/>
      <c r="J60" s="1051"/>
      <c r="K60" s="1052"/>
      <c r="L60" s="1125"/>
    </row>
    <row r="61" spans="1:12" x14ac:dyDescent="0.2">
      <c r="A61" s="1454" t="s">
        <v>460</v>
      </c>
      <c r="B61" s="1454"/>
      <c r="C61" s="1454"/>
      <c r="D61" s="1454"/>
      <c r="E61" s="1454"/>
      <c r="F61" s="1454"/>
      <c r="G61" s="1454"/>
      <c r="H61" s="1454"/>
      <c r="I61" s="1454"/>
      <c r="J61" s="1454"/>
      <c r="K61" s="1454"/>
      <c r="L61" s="1025">
        <f>ROUND(L41+L50+L59,4)</f>
        <v>469.17669999999998</v>
      </c>
    </row>
    <row r="62" spans="1:12" x14ac:dyDescent="0.2">
      <c r="A62" s="1455" t="s">
        <v>461</v>
      </c>
      <c r="B62" s="1455"/>
      <c r="C62" s="1455"/>
      <c r="D62" s="1455"/>
      <c r="E62" s="1455"/>
      <c r="F62" s="1455"/>
      <c r="G62" s="1455"/>
      <c r="H62" s="1455"/>
      <c r="I62" s="1455"/>
      <c r="J62" s="1455"/>
      <c r="K62" s="1055">
        <v>0.25569999999999998</v>
      </c>
      <c r="L62" s="1056">
        <f>ROUND(L61*K62,4)</f>
        <v>119.96850000000001</v>
      </c>
    </row>
    <row r="63" spans="1:12" x14ac:dyDescent="0.2">
      <c r="A63" s="1456" t="s">
        <v>462</v>
      </c>
      <c r="B63" s="1456"/>
      <c r="C63" s="1456"/>
      <c r="D63" s="1456"/>
      <c r="E63" s="1456"/>
      <c r="F63" s="1456"/>
      <c r="G63" s="1456"/>
      <c r="H63" s="1456"/>
      <c r="I63" s="1456"/>
      <c r="J63" s="1456"/>
      <c r="K63" s="1456"/>
      <c r="L63" s="1126">
        <f>ROUND(L61+L62,2)</f>
        <v>589.15</v>
      </c>
    </row>
    <row r="64" spans="1:12" x14ac:dyDescent="0.2">
      <c r="A64" s="1058"/>
      <c r="B64" s="1058"/>
      <c r="C64" s="1058"/>
      <c r="D64" s="1058"/>
      <c r="E64" s="1058"/>
      <c r="F64" s="1058"/>
      <c r="G64" s="1058"/>
      <c r="H64" s="1058"/>
      <c r="I64" s="1058"/>
      <c r="J64" s="1058"/>
      <c r="K64" s="1058"/>
      <c r="L64" s="1058"/>
    </row>
    <row r="65" spans="1:12" ht="31.5" customHeight="1" x14ac:dyDescent="0.2">
      <c r="A65" s="1059" t="s">
        <v>463</v>
      </c>
      <c r="B65" s="1060"/>
      <c r="C65" s="1518" t="s">
        <v>610</v>
      </c>
      <c r="D65" s="1518"/>
      <c r="E65" s="1518"/>
      <c r="F65" s="1518"/>
      <c r="G65" s="1518"/>
      <c r="H65" s="1518"/>
      <c r="I65" s="1518"/>
      <c r="J65" s="1518"/>
      <c r="K65" s="1518"/>
      <c r="L65" s="1518"/>
    </row>
    <row r="66" spans="1:12" x14ac:dyDescent="0.2">
      <c r="A66" s="1210"/>
      <c r="B66" s="1184"/>
      <c r="C66" s="1519"/>
      <c r="D66" s="1519"/>
      <c r="E66" s="1519"/>
      <c r="F66" s="1519"/>
      <c r="G66" s="1519"/>
      <c r="H66" s="1519"/>
      <c r="I66" s="1519"/>
      <c r="J66" s="1519"/>
      <c r="K66" s="1519"/>
      <c r="L66" s="1519"/>
    </row>
    <row r="67" spans="1:12" x14ac:dyDescent="0.2">
      <c r="A67" s="1210"/>
      <c r="B67" s="1184"/>
      <c r="C67" s="1184"/>
      <c r="D67" s="1184"/>
      <c r="E67" s="1184"/>
      <c r="F67" s="1184"/>
      <c r="G67" s="1184"/>
      <c r="H67" s="1184"/>
      <c r="I67" s="1184"/>
      <c r="J67" s="1184"/>
      <c r="K67" s="1184"/>
      <c r="L67" s="1253"/>
    </row>
    <row r="68" spans="1:12" x14ac:dyDescent="0.2">
      <c r="A68" s="1071"/>
      <c r="B68" s="1129"/>
      <c r="C68" s="1129"/>
      <c r="D68" s="1129"/>
      <c r="E68" s="1129"/>
      <c r="F68" s="1129"/>
      <c r="G68" s="1129"/>
      <c r="H68" s="1129"/>
      <c r="I68" s="1129"/>
      <c r="J68" s="1129"/>
      <c r="K68" s="1129"/>
      <c r="L68" s="1254"/>
    </row>
  </sheetData>
  <mergeCells count="63">
    <mergeCell ref="A1:L1"/>
    <mergeCell ref="A2:L2"/>
    <mergeCell ref="A3:L3"/>
    <mergeCell ref="A4:L4"/>
    <mergeCell ref="A5:K5"/>
    <mergeCell ref="A6:K6"/>
    <mergeCell ref="A7:K7"/>
    <mergeCell ref="L7:L8"/>
    <mergeCell ref="A10:L10"/>
    <mergeCell ref="A12:D12"/>
    <mergeCell ref="E12:L12"/>
    <mergeCell ref="A15:L16"/>
    <mergeCell ref="A20:F21"/>
    <mergeCell ref="G20:G21"/>
    <mergeCell ref="H20:I20"/>
    <mergeCell ref="J20:K20"/>
    <mergeCell ref="D22:F22"/>
    <mergeCell ref="D23:F23"/>
    <mergeCell ref="D24:F24"/>
    <mergeCell ref="A26:K26"/>
    <mergeCell ref="A28:I29"/>
    <mergeCell ref="J28:J29"/>
    <mergeCell ref="K28:K29"/>
    <mergeCell ref="D30:I30"/>
    <mergeCell ref="D32:I32"/>
    <mergeCell ref="A34:K34"/>
    <mergeCell ref="A41:H41"/>
    <mergeCell ref="I41:K41"/>
    <mergeCell ref="A43:G44"/>
    <mergeCell ref="H43:I44"/>
    <mergeCell ref="J43:J44"/>
    <mergeCell ref="A45:B45"/>
    <mergeCell ref="D45:G45"/>
    <mergeCell ref="H45:I45"/>
    <mergeCell ref="A46:B46"/>
    <mergeCell ref="D46:G46"/>
    <mergeCell ref="H46:I46"/>
    <mergeCell ref="A47:B47"/>
    <mergeCell ref="D47:G47"/>
    <mergeCell ref="H47:I47"/>
    <mergeCell ref="A48:B48"/>
    <mergeCell ref="D48:G48"/>
    <mergeCell ref="H48:I48"/>
    <mergeCell ref="D49:G49"/>
    <mergeCell ref="H49:I49"/>
    <mergeCell ref="A50:K51"/>
    <mergeCell ref="A52:F54"/>
    <mergeCell ref="G52:G54"/>
    <mergeCell ref="H52:K52"/>
    <mergeCell ref="L52:L54"/>
    <mergeCell ref="A63:K63"/>
    <mergeCell ref="C65:L65"/>
    <mergeCell ref="C66:L66"/>
    <mergeCell ref="G55:G56"/>
    <mergeCell ref="L55:L56"/>
    <mergeCell ref="A59:K59"/>
    <mergeCell ref="A61:K61"/>
    <mergeCell ref="A62:J62"/>
    <mergeCell ref="A55:A56"/>
    <mergeCell ref="B55:B56"/>
    <mergeCell ref="C55:C56"/>
    <mergeCell ref="D55:E56"/>
    <mergeCell ref="F55:F56"/>
  </mergeCells>
  <dataValidations count="1">
    <dataValidation allowBlank="1" showInputMessage="1" showErrorMessage="1" prompt="Clique duas vezes sobre o número do item para ser direcionado à Planilha Orçamentária." sqref="D18" xr:uid="{00000000-0002-0000-1A00-000000000000}">
      <formula1>0</formula1>
      <formula2>0</formula2>
    </dataValidation>
  </dataValidations>
  <printOptions horizontalCentered="1" verticalCentered="1"/>
  <pageMargins left="0.51180555555555496" right="0.51180555555555496" top="0.78749999999999998" bottom="0.78749999999999998" header="0.51180555555555496" footer="0.51180555555555496"/>
  <pageSetup paperSize="9" scale="73" firstPageNumber="0"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L68"/>
  <sheetViews>
    <sheetView topLeftCell="A43" zoomScale="83" zoomScaleNormal="83" workbookViewId="0">
      <selection activeCell="P139" sqref="P139"/>
    </sheetView>
  </sheetViews>
  <sheetFormatPr defaultRowHeight="15" x14ac:dyDescent="0.2"/>
  <cols>
    <col min="1" max="2" width="7.6640625" style="902" customWidth="1"/>
    <col min="3" max="3" width="1.8828125" style="902" customWidth="1"/>
    <col min="4" max="4" width="3.765625" style="902" customWidth="1"/>
    <col min="5" max="5" width="23.67578125" style="902" customWidth="1"/>
    <col min="6" max="6" width="12.64453125" style="902" customWidth="1"/>
    <col min="7" max="7" width="8.7421875" style="902" customWidth="1"/>
    <col min="8" max="8" width="9.28125" style="902" customWidth="1"/>
    <col min="9" max="11" width="8.7421875" style="902" customWidth="1"/>
    <col min="12" max="12" width="10.76171875" style="902" customWidth="1"/>
    <col min="13" max="1025" width="8.7421875" customWidth="1"/>
  </cols>
  <sheetData>
    <row r="1" spans="1:12" x14ac:dyDescent="0.2">
      <c r="A1" s="1474"/>
      <c r="B1" s="1474"/>
      <c r="C1" s="1474"/>
      <c r="D1" s="1474"/>
      <c r="E1" s="1474"/>
      <c r="F1" s="1474"/>
      <c r="G1" s="1474"/>
      <c r="H1" s="1474"/>
      <c r="I1" s="1474"/>
      <c r="J1" s="1474"/>
      <c r="K1" s="1474"/>
      <c r="L1" s="1474"/>
    </row>
    <row r="2" spans="1:12" x14ac:dyDescent="0.2">
      <c r="A2" s="1475" t="s">
        <v>629</v>
      </c>
      <c r="B2" s="1475"/>
      <c r="C2" s="1475"/>
      <c r="D2" s="1475"/>
      <c r="E2" s="1475"/>
      <c r="F2" s="1475"/>
      <c r="G2" s="1475"/>
      <c r="H2" s="1475"/>
      <c r="I2" s="1475"/>
      <c r="J2" s="1475"/>
      <c r="K2" s="1475"/>
      <c r="L2" s="1475"/>
    </row>
    <row r="3" spans="1:12" x14ac:dyDescent="0.2">
      <c r="A3" s="1474"/>
      <c r="B3" s="1474"/>
      <c r="C3" s="1474"/>
      <c r="D3" s="1474"/>
      <c r="E3" s="1474"/>
      <c r="F3" s="1474"/>
      <c r="G3" s="1474"/>
      <c r="H3" s="1474"/>
      <c r="I3" s="1474"/>
      <c r="J3" s="1474"/>
      <c r="K3" s="1474"/>
      <c r="L3" s="1474"/>
    </row>
    <row r="4" spans="1:12" x14ac:dyDescent="0.2">
      <c r="A4" s="1476"/>
      <c r="B4" s="1476"/>
      <c r="C4" s="1476"/>
      <c r="D4" s="1476"/>
      <c r="E4" s="1476"/>
      <c r="F4" s="1476"/>
      <c r="G4" s="1476"/>
      <c r="H4" s="1476"/>
      <c r="I4" s="1476"/>
      <c r="J4" s="1476"/>
      <c r="K4" s="1476"/>
      <c r="L4" s="1476"/>
    </row>
    <row r="5" spans="1:12" x14ac:dyDescent="0.2">
      <c r="A5" s="1477"/>
      <c r="B5" s="1477"/>
      <c r="C5" s="1477"/>
      <c r="D5" s="1477"/>
      <c r="E5" s="1477"/>
      <c r="F5" s="1477"/>
      <c r="G5" s="1477"/>
      <c r="H5" s="1477"/>
      <c r="I5" s="1477"/>
      <c r="J5" s="1477"/>
      <c r="K5" s="1477"/>
      <c r="L5" s="903" t="s">
        <v>419</v>
      </c>
    </row>
    <row r="6" spans="1:12" x14ac:dyDescent="0.2">
      <c r="A6" s="1469"/>
      <c r="B6" s="1469"/>
      <c r="C6" s="1469"/>
      <c r="D6" s="1469"/>
      <c r="E6" s="1469"/>
      <c r="F6" s="1469"/>
      <c r="G6" s="1469"/>
      <c r="H6" s="1469"/>
      <c r="I6" s="1469"/>
      <c r="J6" s="1469"/>
      <c r="K6" s="1469"/>
      <c r="L6" s="1075" t="s">
        <v>611</v>
      </c>
    </row>
    <row r="7" spans="1:12" ht="13.9" customHeight="1" x14ac:dyDescent="0.2">
      <c r="A7" s="1469"/>
      <c r="B7" s="1469"/>
      <c r="C7" s="1469"/>
      <c r="D7" s="1469"/>
      <c r="E7" s="1469"/>
      <c r="F7" s="1469"/>
      <c r="G7" s="1469"/>
      <c r="H7" s="1469"/>
      <c r="I7" s="1469"/>
      <c r="J7" s="1469"/>
      <c r="K7" s="1469"/>
      <c r="L7" s="1470" t="s">
        <v>208</v>
      </c>
    </row>
    <row r="8" spans="1:12" x14ac:dyDescent="0.2">
      <c r="A8" s="904"/>
      <c r="B8" s="905"/>
      <c r="C8" s="906"/>
      <c r="D8" s="907"/>
      <c r="E8" s="908"/>
      <c r="F8" s="906"/>
      <c r="G8" s="906"/>
      <c r="H8" s="906"/>
      <c r="I8" s="906"/>
      <c r="J8" s="906"/>
      <c r="K8" s="909"/>
      <c r="L8" s="1470"/>
    </row>
    <row r="9" spans="1:12" x14ac:dyDescent="0.2">
      <c r="A9" s="910"/>
      <c r="B9" s="910"/>
      <c r="C9" s="911"/>
      <c r="D9" s="912"/>
      <c r="E9" s="912"/>
      <c r="F9" s="913"/>
      <c r="G9" s="913"/>
      <c r="H9" s="913"/>
      <c r="I9" s="913"/>
      <c r="J9" s="913"/>
      <c r="K9" s="913"/>
      <c r="L9" s="914"/>
    </row>
    <row r="10" spans="1:12" x14ac:dyDescent="0.2">
      <c r="A10" s="1471"/>
      <c r="B10" s="1471"/>
      <c r="C10" s="1471"/>
      <c r="D10" s="1471"/>
      <c r="E10" s="1471"/>
      <c r="F10" s="1471"/>
      <c r="G10" s="1471"/>
      <c r="H10" s="1471"/>
      <c r="I10" s="1471"/>
      <c r="J10" s="1471"/>
      <c r="K10" s="1471"/>
      <c r="L10" s="1471"/>
    </row>
    <row r="11" spans="1:12" x14ac:dyDescent="0.2">
      <c r="A11" s="915"/>
      <c r="B11" s="912"/>
      <c r="C11" s="911"/>
      <c r="D11" s="912"/>
      <c r="E11" s="911"/>
      <c r="F11" s="911"/>
      <c r="G11" s="911"/>
      <c r="H11" s="911"/>
      <c r="I11" s="911"/>
      <c r="J11" s="911"/>
      <c r="K11" s="911"/>
      <c r="L11" s="916"/>
    </row>
    <row r="12" spans="1:12" x14ac:dyDescent="0.2">
      <c r="A12" s="1472" t="s">
        <v>421</v>
      </c>
      <c r="B12" s="1472"/>
      <c r="C12" s="1472"/>
      <c r="D12" s="1472"/>
      <c r="E12" s="1542" t="s">
        <v>648</v>
      </c>
      <c r="F12" s="1542"/>
      <c r="G12" s="1542"/>
      <c r="H12" s="1542"/>
      <c r="I12" s="1542"/>
      <c r="J12" s="1542"/>
      <c r="K12" s="1542"/>
      <c r="L12" s="1542"/>
    </row>
    <row r="13" spans="1:12" x14ac:dyDescent="0.2">
      <c r="A13" s="920"/>
      <c r="B13" s="907"/>
      <c r="C13" s="921"/>
      <c r="D13" s="907"/>
      <c r="E13" s="907"/>
      <c r="F13" s="906"/>
      <c r="G13" s="906"/>
      <c r="H13" s="906"/>
      <c r="I13" s="906"/>
      <c r="J13" s="906"/>
      <c r="K13" s="906"/>
      <c r="L13" s="922"/>
    </row>
    <row r="14" spans="1:12" x14ac:dyDescent="0.2">
      <c r="A14" s="913"/>
      <c r="B14" s="913"/>
      <c r="C14" s="913"/>
      <c r="D14" s="913"/>
      <c r="E14" s="913"/>
      <c r="F14" s="913"/>
      <c r="G14" s="913"/>
      <c r="H14" s="913"/>
      <c r="I14" s="913"/>
      <c r="J14" s="913"/>
      <c r="K14" s="913"/>
      <c r="L14" s="914"/>
    </row>
    <row r="15" spans="1:12" x14ac:dyDescent="0.2">
      <c r="A15" s="1473" t="s">
        <v>422</v>
      </c>
      <c r="B15" s="1473"/>
      <c r="C15" s="1473"/>
      <c r="D15" s="1473"/>
      <c r="E15" s="1473"/>
      <c r="F15" s="1473"/>
      <c r="G15" s="1473"/>
      <c r="H15" s="1473"/>
      <c r="I15" s="1473"/>
      <c r="J15" s="1473"/>
      <c r="K15" s="1473"/>
      <c r="L15" s="1473"/>
    </row>
    <row r="16" spans="1:12" x14ac:dyDescent="0.2">
      <c r="A16" s="1473"/>
      <c r="B16" s="1473"/>
      <c r="C16" s="1473"/>
      <c r="D16" s="1473"/>
      <c r="E16" s="1473"/>
      <c r="F16" s="1473"/>
      <c r="G16" s="1473"/>
      <c r="H16" s="1473"/>
      <c r="I16" s="1473"/>
      <c r="J16" s="1473"/>
      <c r="K16" s="1473"/>
      <c r="L16" s="1473"/>
    </row>
    <row r="17" spans="1:12" x14ac:dyDescent="0.2">
      <c r="A17" s="923"/>
      <c r="B17" s="923"/>
      <c r="C17" s="923"/>
      <c r="D17" s="923"/>
      <c r="E17" s="923"/>
      <c r="F17" s="923"/>
      <c r="G17" s="923"/>
      <c r="H17" s="923"/>
      <c r="I17" s="923"/>
      <c r="J17" s="923"/>
      <c r="K17" s="923"/>
      <c r="L17" s="923"/>
    </row>
    <row r="18" spans="1:12" x14ac:dyDescent="0.2">
      <c r="A18" s="924" t="s">
        <v>423</v>
      </c>
      <c r="B18" s="925"/>
      <c r="C18" s="925"/>
      <c r="D18" s="926" t="s">
        <v>208</v>
      </c>
      <c r="E18" s="1290" t="s">
        <v>612</v>
      </c>
      <c r="F18" s="1291"/>
      <c r="G18" s="1290"/>
      <c r="H18" s="1291"/>
      <c r="I18" s="1291"/>
      <c r="J18" s="1292"/>
      <c r="K18" s="928" t="s">
        <v>425</v>
      </c>
      <c r="L18" s="929" t="s">
        <v>426</v>
      </c>
    </row>
    <row r="19" spans="1:12" x14ac:dyDescent="0.2">
      <c r="A19" s="910"/>
      <c r="B19" s="910"/>
      <c r="C19" s="910"/>
      <c r="D19" s="910"/>
      <c r="E19" s="910"/>
      <c r="F19" s="910"/>
      <c r="G19" s="910"/>
      <c r="H19" s="910"/>
      <c r="I19" s="910"/>
      <c r="J19" s="910"/>
      <c r="K19" s="910"/>
      <c r="L19" s="910"/>
    </row>
    <row r="20" spans="1:12" x14ac:dyDescent="0.2">
      <c r="A20" s="1462" t="s">
        <v>434</v>
      </c>
      <c r="B20" s="1462"/>
      <c r="C20" s="1462"/>
      <c r="D20" s="1462"/>
      <c r="E20" s="1462"/>
      <c r="F20" s="1462"/>
      <c r="G20" s="1460" t="s">
        <v>166</v>
      </c>
      <c r="H20" s="1460" t="s">
        <v>362</v>
      </c>
      <c r="I20" s="1460"/>
      <c r="J20" s="1500" t="s">
        <v>483</v>
      </c>
      <c r="K20" s="1500"/>
      <c r="L20" s="1076" t="s">
        <v>484</v>
      </c>
    </row>
    <row r="21" spans="1:12" x14ac:dyDescent="0.2">
      <c r="A21" s="1462"/>
      <c r="B21" s="1462"/>
      <c r="C21" s="1462"/>
      <c r="D21" s="1462"/>
      <c r="E21" s="1462"/>
      <c r="F21" s="1462"/>
      <c r="G21" s="1460"/>
      <c r="H21" s="943" t="s">
        <v>485</v>
      </c>
      <c r="I21" s="1077" t="s">
        <v>486</v>
      </c>
      <c r="J21" s="943" t="s">
        <v>485</v>
      </c>
      <c r="K21" s="1077" t="s">
        <v>486</v>
      </c>
      <c r="L21" s="1026" t="s">
        <v>487</v>
      </c>
    </row>
    <row r="22" spans="1:12" x14ac:dyDescent="0.2">
      <c r="A22" s="1043"/>
      <c r="B22" s="1131"/>
      <c r="C22" s="979"/>
      <c r="D22" s="1520"/>
      <c r="E22" s="1520"/>
      <c r="F22" s="1520"/>
      <c r="G22" s="1112"/>
      <c r="H22" s="1116"/>
      <c r="I22" s="961"/>
      <c r="J22" s="986"/>
      <c r="K22" s="986"/>
      <c r="L22" s="986">
        <f>ROUND((G22*H22*J22)+(G22*I22*K22),4)</f>
        <v>0</v>
      </c>
    </row>
    <row r="23" spans="1:12" x14ac:dyDescent="0.2">
      <c r="A23" s="1043"/>
      <c r="B23" s="1130"/>
      <c r="C23" s="979"/>
      <c r="D23" s="1479"/>
      <c r="E23" s="1479"/>
      <c r="F23" s="1479"/>
      <c r="G23" s="1112"/>
      <c r="H23" s="1116"/>
      <c r="I23" s="961"/>
      <c r="J23" s="986"/>
      <c r="K23" s="986"/>
      <c r="L23" s="986">
        <f>ROUND((G23*H23*J23)+(G23*I23*K23),4)</f>
        <v>0</v>
      </c>
    </row>
    <row r="24" spans="1:12" x14ac:dyDescent="0.2">
      <c r="A24" s="1043"/>
      <c r="B24" s="1130"/>
      <c r="C24" s="979"/>
      <c r="D24" s="1519"/>
      <c r="E24" s="1519"/>
      <c r="F24" s="1519"/>
      <c r="G24" s="1112"/>
      <c r="H24" s="1116"/>
      <c r="I24" s="961"/>
      <c r="J24" s="986"/>
      <c r="K24" s="963"/>
      <c r="L24" s="986">
        <f>ROUND((G24*H24*J24)+(G24*I24*K24),4)</f>
        <v>0</v>
      </c>
    </row>
    <row r="25" spans="1:12" x14ac:dyDescent="0.2">
      <c r="A25" s="1153"/>
      <c r="B25" s="942"/>
      <c r="C25" s="979"/>
      <c r="D25" s="942"/>
      <c r="E25" s="942"/>
      <c r="F25" s="942"/>
      <c r="G25" s="1096"/>
      <c r="H25" s="1116"/>
      <c r="I25" s="961"/>
      <c r="J25" s="1086"/>
      <c r="K25" s="1087"/>
      <c r="L25" s="986">
        <f>ROUND((G25*H25*J25)+(G25*I25*K25),4)</f>
        <v>0</v>
      </c>
    </row>
    <row r="26" spans="1:12" x14ac:dyDescent="0.2">
      <c r="A26" s="1497" t="s">
        <v>488</v>
      </c>
      <c r="B26" s="1497"/>
      <c r="C26" s="1497"/>
      <c r="D26" s="1497"/>
      <c r="E26" s="1497"/>
      <c r="F26" s="1497"/>
      <c r="G26" s="1497"/>
      <c r="H26" s="1497"/>
      <c r="I26" s="1497"/>
      <c r="J26" s="1497"/>
      <c r="K26" s="1497"/>
      <c r="L26" s="1035">
        <f>ROUND(SUM(L22:L25),4)</f>
        <v>0</v>
      </c>
    </row>
    <row r="27" spans="1:12" x14ac:dyDescent="0.2">
      <c r="A27" s="930"/>
      <c r="B27" s="930"/>
      <c r="C27" s="930"/>
      <c r="D27" s="930"/>
      <c r="E27" s="930"/>
      <c r="F27" s="930"/>
      <c r="G27" s="930"/>
      <c r="H27" s="1023"/>
      <c r="I27" s="1023"/>
      <c r="J27" s="1023"/>
      <c r="K27" s="1023"/>
      <c r="L27" s="1023"/>
    </row>
    <row r="28" spans="1:12" ht="13.9" customHeight="1" x14ac:dyDescent="0.2">
      <c r="A28" s="1462" t="s">
        <v>447</v>
      </c>
      <c r="B28" s="1462"/>
      <c r="C28" s="1462"/>
      <c r="D28" s="1462"/>
      <c r="E28" s="1462"/>
      <c r="F28" s="1462"/>
      <c r="G28" s="1462"/>
      <c r="H28" s="1462"/>
      <c r="I28" s="1462"/>
      <c r="J28" s="1460" t="s">
        <v>166</v>
      </c>
      <c r="K28" s="1452" t="s">
        <v>489</v>
      </c>
      <c r="L28" s="1076" t="s">
        <v>449</v>
      </c>
    </row>
    <row r="29" spans="1:12" x14ac:dyDescent="0.2">
      <c r="A29" s="1462"/>
      <c r="B29" s="1462"/>
      <c r="C29" s="1462"/>
      <c r="D29" s="1462"/>
      <c r="E29" s="1462"/>
      <c r="F29" s="1462"/>
      <c r="G29" s="1462"/>
      <c r="H29" s="1462"/>
      <c r="I29" s="1462"/>
      <c r="J29" s="1460"/>
      <c r="K29" s="1452"/>
      <c r="L29" s="1026" t="s">
        <v>487</v>
      </c>
    </row>
    <row r="30" spans="1:12" x14ac:dyDescent="0.2">
      <c r="A30" s="1078"/>
      <c r="B30" s="1130"/>
      <c r="C30" s="979"/>
      <c r="D30" s="1527"/>
      <c r="E30" s="1527"/>
      <c r="F30" s="1527"/>
      <c r="G30" s="1527"/>
      <c r="H30" s="1527"/>
      <c r="I30" s="1527"/>
      <c r="J30" s="1080"/>
      <c r="K30" s="1132"/>
      <c r="L30" s="964">
        <f>ROUND(J30*K30,4)</f>
        <v>0</v>
      </c>
    </row>
    <row r="31" spans="1:12" x14ac:dyDescent="0.2">
      <c r="A31" s="1043"/>
      <c r="B31" s="1130"/>
      <c r="C31" s="979"/>
      <c r="D31" s="942"/>
      <c r="E31" s="942"/>
      <c r="F31" s="942"/>
      <c r="G31" s="942"/>
      <c r="H31" s="942"/>
      <c r="I31" s="1144"/>
      <c r="J31" s="1080"/>
      <c r="K31" s="1020"/>
      <c r="L31" s="1243">
        <f>ROUND(J31*K31,4)</f>
        <v>0</v>
      </c>
    </row>
    <row r="32" spans="1:12" x14ac:dyDescent="0.2">
      <c r="A32" s="1149"/>
      <c r="B32" s="1150"/>
      <c r="C32" s="979"/>
      <c r="D32" s="1525"/>
      <c r="E32" s="1525"/>
      <c r="F32" s="1525"/>
      <c r="G32" s="1525"/>
      <c r="H32" s="1525"/>
      <c r="I32" s="1525"/>
      <c r="J32" s="1080"/>
      <c r="K32" s="1020"/>
      <c r="L32" s="1243">
        <f>ROUND(J32*K32,4)</f>
        <v>0</v>
      </c>
    </row>
    <row r="33" spans="1:12" x14ac:dyDescent="0.2">
      <c r="A33" s="1082"/>
      <c r="B33" s="1083"/>
      <c r="C33" s="1083"/>
      <c r="D33" s="1083"/>
      <c r="E33" s="1083"/>
      <c r="F33" s="1083"/>
      <c r="G33" s="905"/>
      <c r="H33" s="1077"/>
      <c r="I33" s="1095"/>
      <c r="J33" s="1085"/>
      <c r="K33" s="1020"/>
      <c r="L33" s="1243">
        <f>ROUND(J33*K33,4)</f>
        <v>0</v>
      </c>
    </row>
    <row r="34" spans="1:12" x14ac:dyDescent="0.2">
      <c r="A34" s="1497" t="s">
        <v>490</v>
      </c>
      <c r="B34" s="1497"/>
      <c r="C34" s="1497"/>
      <c r="D34" s="1497"/>
      <c r="E34" s="1497"/>
      <c r="F34" s="1497"/>
      <c r="G34" s="1497"/>
      <c r="H34" s="1497"/>
      <c r="I34" s="1497"/>
      <c r="J34" s="1497"/>
      <c r="K34" s="1497"/>
      <c r="L34" s="1035">
        <f>ROUND(SUM(L30:L33),4)</f>
        <v>0</v>
      </c>
    </row>
    <row r="35" spans="1:12" x14ac:dyDescent="0.2">
      <c r="A35" s="930"/>
      <c r="B35" s="930"/>
      <c r="C35" s="930"/>
      <c r="D35" s="930"/>
      <c r="E35" s="930"/>
      <c r="F35" s="930"/>
      <c r="G35" s="930"/>
      <c r="H35" s="930"/>
      <c r="I35" s="930"/>
      <c r="J35" s="1023"/>
      <c r="K35" s="1023"/>
      <c r="L35" s="1099"/>
    </row>
    <row r="36" spans="1:12" x14ac:dyDescent="0.2">
      <c r="A36" s="930"/>
      <c r="B36" s="930"/>
      <c r="C36" s="930"/>
      <c r="D36" s="930"/>
      <c r="E36" s="930"/>
      <c r="F36" s="930"/>
      <c r="G36" s="930"/>
      <c r="H36" s="930"/>
      <c r="I36" s="930"/>
      <c r="J36" s="1023"/>
      <c r="K36" s="1100" t="s">
        <v>491</v>
      </c>
      <c r="L36" s="1260">
        <f>L26+L34</f>
        <v>0</v>
      </c>
    </row>
    <row r="37" spans="1:12" x14ac:dyDescent="0.2">
      <c r="A37" s="1102" t="s">
        <v>492</v>
      </c>
      <c r="B37" s="930"/>
      <c r="C37" s="930"/>
      <c r="D37" s="930"/>
      <c r="E37" s="930"/>
      <c r="F37" s="1103">
        <v>1</v>
      </c>
      <c r="G37" s="1257" t="str">
        <f>L18</f>
        <v xml:space="preserve">un </v>
      </c>
      <c r="H37" s="1102"/>
      <c r="I37" s="930"/>
      <c r="J37" s="1105"/>
      <c r="K37" s="1106" t="s">
        <v>493</v>
      </c>
      <c r="L37" s="1035">
        <f>ROUND(L36/F37,4)</f>
        <v>0</v>
      </c>
    </row>
    <row r="38" spans="1:12" x14ac:dyDescent="0.2">
      <c r="A38" s="1102"/>
      <c r="B38" s="930" t="s">
        <v>494</v>
      </c>
      <c r="C38" s="930"/>
      <c r="D38" s="930"/>
      <c r="E38" s="930"/>
      <c r="F38" s="1103"/>
      <c r="G38" s="1104"/>
      <c r="H38" s="1102"/>
      <c r="I38" s="930"/>
      <c r="J38" s="1105"/>
      <c r="K38" s="1100" t="s">
        <v>495</v>
      </c>
      <c r="L38" s="1035">
        <f>ROUND(L37*F38,4)</f>
        <v>0</v>
      </c>
    </row>
    <row r="39" spans="1:12" x14ac:dyDescent="0.2">
      <c r="A39" s="1102"/>
      <c r="B39" s="930" t="s">
        <v>496</v>
      </c>
      <c r="C39" s="930"/>
      <c r="D39" s="930"/>
      <c r="E39" s="930"/>
      <c r="F39" s="1202"/>
      <c r="G39" s="1104"/>
      <c r="H39" s="1105"/>
      <c r="I39" s="1107"/>
      <c r="J39" s="1023"/>
      <c r="K39" s="1100" t="s">
        <v>497</v>
      </c>
      <c r="L39" s="968">
        <f>ROUND(L37*F39,4)</f>
        <v>0</v>
      </c>
    </row>
    <row r="40" spans="1:12" x14ac:dyDescent="0.2">
      <c r="A40" s="930"/>
      <c r="B40" s="930"/>
      <c r="C40" s="930"/>
      <c r="D40" s="930"/>
      <c r="E40" s="930"/>
      <c r="F40" s="930"/>
      <c r="G40" s="930"/>
      <c r="H40" s="930"/>
      <c r="I40" s="930"/>
      <c r="J40" s="1023"/>
      <c r="K40" s="1023"/>
      <c r="L40" s="1261"/>
    </row>
    <row r="41" spans="1:12" x14ac:dyDescent="0.2">
      <c r="A41" s="1462" t="s">
        <v>498</v>
      </c>
      <c r="B41" s="1462"/>
      <c r="C41" s="1462"/>
      <c r="D41" s="1462"/>
      <c r="E41" s="1462"/>
      <c r="F41" s="1462"/>
      <c r="G41" s="1462"/>
      <c r="H41" s="1462"/>
      <c r="I41" s="1456" t="s">
        <v>499</v>
      </c>
      <c r="J41" s="1456"/>
      <c r="K41" s="1456"/>
      <c r="L41" s="1208">
        <f>ROUND(SUM(L37:L40),4)</f>
        <v>0</v>
      </c>
    </row>
    <row r="42" spans="1:12" x14ac:dyDescent="0.2">
      <c r="A42" s="910"/>
      <c r="B42" s="910"/>
      <c r="C42" s="910"/>
      <c r="D42" s="910"/>
      <c r="E42" s="910"/>
      <c r="F42" s="910"/>
      <c r="G42" s="1109"/>
      <c r="H42" s="1109"/>
      <c r="I42" s="933"/>
      <c r="J42" s="933"/>
      <c r="K42" s="933"/>
      <c r="L42" s="910"/>
    </row>
    <row r="43" spans="1:12" x14ac:dyDescent="0.2">
      <c r="A43" s="1462" t="s">
        <v>500</v>
      </c>
      <c r="B43" s="1462"/>
      <c r="C43" s="1462"/>
      <c r="D43" s="1462"/>
      <c r="E43" s="1462"/>
      <c r="F43" s="1462"/>
      <c r="G43" s="1462"/>
      <c r="H43" s="1460" t="s">
        <v>166</v>
      </c>
      <c r="I43" s="1460"/>
      <c r="J43" s="1460" t="s">
        <v>165</v>
      </c>
      <c r="K43" s="1076" t="s">
        <v>501</v>
      </c>
      <c r="L43" s="1076" t="s">
        <v>484</v>
      </c>
    </row>
    <row r="44" spans="1:12" x14ac:dyDescent="0.2">
      <c r="A44" s="1462"/>
      <c r="B44" s="1462"/>
      <c r="C44" s="1462"/>
      <c r="D44" s="1462"/>
      <c r="E44" s="1462"/>
      <c r="F44" s="1462"/>
      <c r="G44" s="1462"/>
      <c r="H44" s="1460"/>
      <c r="I44" s="1460"/>
      <c r="J44" s="1460"/>
      <c r="K44" s="1110" t="s">
        <v>451</v>
      </c>
      <c r="L44" s="1026" t="s">
        <v>451</v>
      </c>
    </row>
    <row r="45" spans="1:12" ht="21" customHeight="1" x14ac:dyDescent="0.2">
      <c r="A45" s="1533" t="s">
        <v>764</v>
      </c>
      <c r="B45" s="1533"/>
      <c r="C45" s="979" t="s">
        <v>442</v>
      </c>
      <c r="D45" s="1479" t="s">
        <v>765</v>
      </c>
      <c r="E45" s="1479"/>
      <c r="F45" s="1479"/>
      <c r="G45" s="1479"/>
      <c r="H45" s="1495">
        <v>9.0662000000000003</v>
      </c>
      <c r="I45" s="1495"/>
      <c r="J45" s="1113" t="s">
        <v>482</v>
      </c>
      <c r="K45" s="1044">
        <v>77.88</v>
      </c>
      <c r="L45" s="986">
        <f>ROUND(H45*K45,4)</f>
        <v>706.07569999999998</v>
      </c>
    </row>
    <row r="46" spans="1:12" ht="22.5" customHeight="1" x14ac:dyDescent="0.2">
      <c r="A46" s="1537" t="s">
        <v>772</v>
      </c>
      <c r="B46" s="1537"/>
      <c r="C46" s="979" t="s">
        <v>442</v>
      </c>
      <c r="D46" s="1525" t="s">
        <v>773</v>
      </c>
      <c r="E46" s="1525"/>
      <c r="F46" s="1525"/>
      <c r="G46" s="1525"/>
      <c r="H46" s="1495">
        <v>2.8459999999999999E-2</v>
      </c>
      <c r="I46" s="1495"/>
      <c r="J46" s="1113" t="s">
        <v>581</v>
      </c>
      <c r="K46" s="1044">
        <v>356.19</v>
      </c>
      <c r="L46" s="986">
        <f>ROUND(H46*K46,4)</f>
        <v>10.1372</v>
      </c>
    </row>
    <row r="47" spans="1:12" ht="23.25" customHeight="1" x14ac:dyDescent="0.2">
      <c r="A47" s="1537" t="s">
        <v>768</v>
      </c>
      <c r="B47" s="1537"/>
      <c r="C47" s="979" t="s">
        <v>442</v>
      </c>
      <c r="D47" s="1479" t="s">
        <v>769</v>
      </c>
      <c r="E47" s="1479"/>
      <c r="F47" s="1479"/>
      <c r="G47" s="1479"/>
      <c r="H47" s="1495">
        <v>1.3915</v>
      </c>
      <c r="I47" s="1495"/>
      <c r="J47" s="1113" t="s">
        <v>581</v>
      </c>
      <c r="K47" s="1044">
        <v>328.93</v>
      </c>
      <c r="L47" s="986">
        <f>ROUND(H47*K47,4)</f>
        <v>457.70609999999999</v>
      </c>
    </row>
    <row r="48" spans="1:12" x14ac:dyDescent="0.2">
      <c r="A48" s="1537"/>
      <c r="B48" s="1537"/>
      <c r="C48" s="979"/>
      <c r="D48" s="1525"/>
      <c r="E48" s="1525"/>
      <c r="F48" s="1525"/>
      <c r="G48" s="1525"/>
      <c r="H48" s="1495"/>
      <c r="I48" s="1495"/>
      <c r="J48" s="1113"/>
      <c r="K48" s="1044"/>
      <c r="L48" s="986">
        <f>ROUND(H48*K48,4)</f>
        <v>0</v>
      </c>
    </row>
    <row r="49" spans="1:12" x14ac:dyDescent="0.2">
      <c r="A49" s="1282"/>
      <c r="B49" s="1283"/>
      <c r="C49" s="1077"/>
      <c r="D49" s="1540"/>
      <c r="E49" s="1540"/>
      <c r="F49" s="1540"/>
      <c r="G49" s="1540"/>
      <c r="H49" s="1512"/>
      <c r="I49" s="1512"/>
      <c r="J49" s="1284"/>
      <c r="K49" s="1285"/>
      <c r="L49" s="1098">
        <f>ROUND(H49*K49,4)</f>
        <v>0</v>
      </c>
    </row>
    <row r="50" spans="1:12" x14ac:dyDescent="0.2">
      <c r="A50" s="1541" t="s">
        <v>502</v>
      </c>
      <c r="B50" s="1541"/>
      <c r="C50" s="1541"/>
      <c r="D50" s="1541"/>
      <c r="E50" s="1541"/>
      <c r="F50" s="1541"/>
      <c r="G50" s="1541"/>
      <c r="H50" s="1541"/>
      <c r="I50" s="1541"/>
      <c r="J50" s="1541"/>
      <c r="K50" s="1541"/>
      <c r="L50" s="1025">
        <f>ROUND(SUM(L45:L49),4)</f>
        <v>1173.9190000000001</v>
      </c>
    </row>
    <row r="51" spans="1:12" x14ac:dyDescent="0.2">
      <c r="A51" s="1541"/>
      <c r="B51" s="1541"/>
      <c r="C51" s="1541"/>
      <c r="D51" s="1541"/>
      <c r="E51" s="1541"/>
      <c r="F51" s="1541"/>
      <c r="G51" s="1541"/>
      <c r="H51" s="1541"/>
      <c r="I51" s="1541"/>
      <c r="J51" s="1541"/>
      <c r="K51" s="1541"/>
      <c r="L51" s="1118"/>
    </row>
    <row r="52" spans="1:12" ht="13.9" customHeight="1" x14ac:dyDescent="0.2">
      <c r="A52" s="1462" t="s">
        <v>503</v>
      </c>
      <c r="B52" s="1462"/>
      <c r="C52" s="1462"/>
      <c r="D52" s="1462"/>
      <c r="E52" s="1462"/>
      <c r="F52" s="1462"/>
      <c r="G52" s="1452" t="s">
        <v>504</v>
      </c>
      <c r="H52" s="1460" t="s">
        <v>505</v>
      </c>
      <c r="I52" s="1460"/>
      <c r="J52" s="1460"/>
      <c r="K52" s="1460"/>
      <c r="L52" s="1460" t="s">
        <v>506</v>
      </c>
    </row>
    <row r="53" spans="1:12" x14ac:dyDescent="0.2">
      <c r="A53" s="1462"/>
      <c r="B53" s="1462"/>
      <c r="C53" s="1462"/>
      <c r="D53" s="1462"/>
      <c r="E53" s="1462"/>
      <c r="F53" s="1462"/>
      <c r="G53" s="1452"/>
      <c r="H53" s="944" t="s">
        <v>112</v>
      </c>
      <c r="I53" s="1095" t="s">
        <v>380</v>
      </c>
      <c r="J53" s="1026" t="s">
        <v>383</v>
      </c>
      <c r="K53" s="1110" t="s">
        <v>385</v>
      </c>
      <c r="L53" s="1460"/>
    </row>
    <row r="54" spans="1:12" x14ac:dyDescent="0.2">
      <c r="A54" s="1462"/>
      <c r="B54" s="1462"/>
      <c r="C54" s="1462"/>
      <c r="D54" s="1462"/>
      <c r="E54" s="1462"/>
      <c r="F54" s="1462"/>
      <c r="G54" s="1452"/>
      <c r="H54" s="943" t="s">
        <v>507</v>
      </c>
      <c r="I54" s="1119"/>
      <c r="J54" s="1119"/>
      <c r="K54" s="1119"/>
      <c r="L54" s="1460"/>
    </row>
    <row r="55" spans="1:12" x14ac:dyDescent="0.2">
      <c r="A55" s="1539"/>
      <c r="B55" s="1489"/>
      <c r="C55" s="1490"/>
      <c r="D55" s="1502"/>
      <c r="E55" s="1502"/>
      <c r="F55" s="1503"/>
      <c r="G55" s="1493"/>
      <c r="H55" s="1120" t="s">
        <v>508</v>
      </c>
      <c r="I55" s="1293"/>
      <c r="J55" s="1293"/>
      <c r="K55" s="1293"/>
      <c r="L55" s="1494">
        <f>ROUND(G55*($I$54*I56+$J$54*J56+$K$54*K56),4)</f>
        <v>0</v>
      </c>
    </row>
    <row r="56" spans="1:12" x14ac:dyDescent="0.2">
      <c r="A56" s="1539"/>
      <c r="B56" s="1489"/>
      <c r="C56" s="1490"/>
      <c r="D56" s="1502"/>
      <c r="E56" s="1502"/>
      <c r="F56" s="1503"/>
      <c r="G56" s="1493"/>
      <c r="H56" s="1122" t="s">
        <v>509</v>
      </c>
      <c r="I56" s="1294"/>
      <c r="J56" s="1294"/>
      <c r="K56" s="1294"/>
      <c r="L56" s="1494"/>
    </row>
    <row r="57" spans="1:12" x14ac:dyDescent="0.2">
      <c r="A57" s="1149"/>
      <c r="B57" s="1150"/>
      <c r="C57" s="979"/>
      <c r="D57" s="1519"/>
      <c r="E57" s="1519"/>
      <c r="F57" s="1519"/>
      <c r="G57" s="1112"/>
      <c r="H57" s="1295"/>
      <c r="I57" s="1295"/>
      <c r="J57" s="1137"/>
      <c r="K57" s="1287"/>
      <c r="L57" s="1138"/>
    </row>
    <row r="58" spans="1:12" x14ac:dyDescent="0.2">
      <c r="A58" s="1082"/>
      <c r="B58" s="942"/>
      <c r="C58" s="979"/>
      <c r="D58" s="1083"/>
      <c r="E58" s="1083"/>
      <c r="F58" s="1083"/>
      <c r="G58" s="1096"/>
      <c r="H58" s="1288"/>
      <c r="I58" s="1288"/>
      <c r="J58" s="1137"/>
      <c r="K58" s="1289"/>
      <c r="L58" s="1138"/>
    </row>
    <row r="59" spans="1:12" x14ac:dyDescent="0.2">
      <c r="A59" s="1454" t="s">
        <v>510</v>
      </c>
      <c r="B59" s="1454"/>
      <c r="C59" s="1454"/>
      <c r="D59" s="1454"/>
      <c r="E59" s="1454"/>
      <c r="F59" s="1454"/>
      <c r="G59" s="1454"/>
      <c r="H59" s="1454"/>
      <c r="I59" s="1454"/>
      <c r="J59" s="1454"/>
      <c r="K59" s="1454"/>
      <c r="L59" s="1025">
        <f>ROUND(SUM(L55:L58),4)</f>
        <v>0</v>
      </c>
    </row>
    <row r="60" spans="1:12" x14ac:dyDescent="0.2">
      <c r="A60" s="1049"/>
      <c r="B60" s="1049"/>
      <c r="C60" s="1049"/>
      <c r="D60" s="1049"/>
      <c r="E60" s="1049"/>
      <c r="F60" s="1049"/>
      <c r="G60" s="932"/>
      <c r="H60" s="1050"/>
      <c r="I60" s="1050"/>
      <c r="J60" s="1051"/>
      <c r="K60" s="1052"/>
      <c r="L60" s="1125"/>
    </row>
    <row r="61" spans="1:12" x14ac:dyDescent="0.2">
      <c r="A61" s="1454" t="s">
        <v>460</v>
      </c>
      <c r="B61" s="1454"/>
      <c r="C61" s="1454"/>
      <c r="D61" s="1454"/>
      <c r="E61" s="1454"/>
      <c r="F61" s="1454"/>
      <c r="G61" s="1454"/>
      <c r="H61" s="1454"/>
      <c r="I61" s="1454"/>
      <c r="J61" s="1454"/>
      <c r="K61" s="1454"/>
      <c r="L61" s="1025">
        <f>ROUND(L41+L50+L59,4)</f>
        <v>1173.9190000000001</v>
      </c>
    </row>
    <row r="62" spans="1:12" x14ac:dyDescent="0.2">
      <c r="A62" s="1455" t="s">
        <v>461</v>
      </c>
      <c r="B62" s="1455"/>
      <c r="C62" s="1455"/>
      <c r="D62" s="1455"/>
      <c r="E62" s="1455"/>
      <c r="F62" s="1455"/>
      <c r="G62" s="1455"/>
      <c r="H62" s="1455"/>
      <c r="I62" s="1455"/>
      <c r="J62" s="1455"/>
      <c r="K62" s="1055">
        <v>0.25569999999999998</v>
      </c>
      <c r="L62" s="1056">
        <f>ROUND(L61*K62,4)</f>
        <v>300.17110000000002</v>
      </c>
    </row>
    <row r="63" spans="1:12" x14ac:dyDescent="0.2">
      <c r="A63" s="1456" t="s">
        <v>462</v>
      </c>
      <c r="B63" s="1456"/>
      <c r="C63" s="1456"/>
      <c r="D63" s="1456"/>
      <c r="E63" s="1456"/>
      <c r="F63" s="1456"/>
      <c r="G63" s="1456"/>
      <c r="H63" s="1456"/>
      <c r="I63" s="1456"/>
      <c r="J63" s="1456"/>
      <c r="K63" s="1456"/>
      <c r="L63" s="1126">
        <f>ROUND(L61+L62,2)</f>
        <v>1474.09</v>
      </c>
    </row>
    <row r="64" spans="1:12" x14ac:dyDescent="0.2">
      <c r="A64" s="1058"/>
      <c r="B64" s="1058"/>
      <c r="C64" s="1058"/>
      <c r="D64" s="1058"/>
      <c r="E64" s="1058"/>
      <c r="F64" s="1058"/>
      <c r="G64" s="1058"/>
      <c r="H64" s="1058"/>
      <c r="I64" s="1058"/>
      <c r="J64" s="1058"/>
      <c r="K64" s="1058"/>
      <c r="L64" s="1058"/>
    </row>
    <row r="65" spans="1:12" ht="27.75" customHeight="1" x14ac:dyDescent="0.2">
      <c r="A65" s="1059" t="s">
        <v>463</v>
      </c>
      <c r="B65" s="1060"/>
      <c r="C65" s="1518" t="s">
        <v>613</v>
      </c>
      <c r="D65" s="1518"/>
      <c r="E65" s="1518"/>
      <c r="F65" s="1518"/>
      <c r="G65" s="1518"/>
      <c r="H65" s="1518"/>
      <c r="I65" s="1518"/>
      <c r="J65" s="1518"/>
      <c r="K65" s="1518"/>
      <c r="L65" s="1518"/>
    </row>
    <row r="66" spans="1:12" x14ac:dyDescent="0.2">
      <c r="A66" s="1210"/>
      <c r="B66" s="1184"/>
      <c r="C66" s="1528"/>
      <c r="D66" s="1528"/>
      <c r="E66" s="1528"/>
      <c r="F66" s="1528"/>
      <c r="G66" s="1528"/>
      <c r="H66" s="1528"/>
      <c r="I66" s="1528"/>
      <c r="J66" s="1528"/>
      <c r="K66" s="1528"/>
      <c r="L66" s="1528"/>
    </row>
    <row r="67" spans="1:12" x14ac:dyDescent="0.2">
      <c r="A67" s="1210"/>
      <c r="B67" s="1184"/>
      <c r="C67" s="1184"/>
      <c r="D67" s="1184"/>
      <c r="E67" s="1184"/>
      <c r="F67" s="1184"/>
      <c r="G67" s="1184"/>
      <c r="H67" s="1184"/>
      <c r="I67" s="1184"/>
      <c r="J67" s="1184"/>
      <c r="K67" s="1184"/>
      <c r="L67" s="1253"/>
    </row>
    <row r="68" spans="1:12" x14ac:dyDescent="0.2">
      <c r="A68" s="1071"/>
      <c r="B68" s="1129"/>
      <c r="C68" s="1129"/>
      <c r="D68" s="1129"/>
      <c r="E68" s="1129"/>
      <c r="F68" s="1129"/>
      <c r="G68" s="1129"/>
      <c r="H68" s="1129"/>
      <c r="I68" s="1129"/>
      <c r="J68" s="1129"/>
      <c r="K68" s="1129"/>
      <c r="L68" s="1254"/>
    </row>
  </sheetData>
  <mergeCells count="64">
    <mergeCell ref="A1:L1"/>
    <mergeCell ref="A2:L2"/>
    <mergeCell ref="A3:L3"/>
    <mergeCell ref="A4:L4"/>
    <mergeCell ref="A5:K5"/>
    <mergeCell ref="A6:K6"/>
    <mergeCell ref="A7:K7"/>
    <mergeCell ref="L7:L8"/>
    <mergeCell ref="A10:L10"/>
    <mergeCell ref="A12:D12"/>
    <mergeCell ref="E12:L12"/>
    <mergeCell ref="A15:L16"/>
    <mergeCell ref="A20:F21"/>
    <mergeCell ref="G20:G21"/>
    <mergeCell ref="H20:I20"/>
    <mergeCell ref="J20:K20"/>
    <mergeCell ref="D22:F22"/>
    <mergeCell ref="D23:F23"/>
    <mergeCell ref="D24:F24"/>
    <mergeCell ref="A26:K26"/>
    <mergeCell ref="A28:I29"/>
    <mergeCell ref="J28:J29"/>
    <mergeCell ref="K28:K29"/>
    <mergeCell ref="D30:I30"/>
    <mergeCell ref="D32:I32"/>
    <mergeCell ref="A34:K34"/>
    <mergeCell ref="A41:H41"/>
    <mergeCell ref="I41:K41"/>
    <mergeCell ref="A43:G44"/>
    <mergeCell ref="H43:I44"/>
    <mergeCell ref="J43:J44"/>
    <mergeCell ref="A45:B45"/>
    <mergeCell ref="D45:G45"/>
    <mergeCell ref="H45:I45"/>
    <mergeCell ref="A46:B46"/>
    <mergeCell ref="D46:G46"/>
    <mergeCell ref="H46:I46"/>
    <mergeCell ref="A47:B47"/>
    <mergeCell ref="D47:G47"/>
    <mergeCell ref="H47:I47"/>
    <mergeCell ref="A48:B48"/>
    <mergeCell ref="D48:G48"/>
    <mergeCell ref="H48:I48"/>
    <mergeCell ref="D49:G49"/>
    <mergeCell ref="H49:I49"/>
    <mergeCell ref="A50:K51"/>
    <mergeCell ref="A52:F54"/>
    <mergeCell ref="G52:G54"/>
    <mergeCell ref="H52:K52"/>
    <mergeCell ref="L52:L54"/>
    <mergeCell ref="A62:J62"/>
    <mergeCell ref="A63:K63"/>
    <mergeCell ref="C65:L65"/>
    <mergeCell ref="C66:L66"/>
    <mergeCell ref="G55:G56"/>
    <mergeCell ref="L55:L56"/>
    <mergeCell ref="D57:F57"/>
    <mergeCell ref="A59:K59"/>
    <mergeCell ref="A61:K61"/>
    <mergeCell ref="A55:A56"/>
    <mergeCell ref="B55:B56"/>
    <mergeCell ref="C55:C56"/>
    <mergeCell ref="D55:E56"/>
    <mergeCell ref="F55:F56"/>
  </mergeCells>
  <dataValidations count="1">
    <dataValidation allowBlank="1" showInputMessage="1" showErrorMessage="1" prompt="Clique duas vezes sobre o número do item para ser direcionado à Planilha Orçamentária." sqref="D18" xr:uid="{00000000-0002-0000-1B00-000000000000}">
      <formula1>0</formula1>
      <formula2>0</formula2>
    </dataValidation>
  </dataValidations>
  <printOptions horizontalCentered="1" verticalCentered="1"/>
  <pageMargins left="0.51180555555555496" right="0.51180555555555496" top="0.78749999999999998" bottom="0.78749999999999998" header="0.51180555555555496" footer="0.51180555555555496"/>
  <pageSetup paperSize="9" scale="72" firstPageNumber="0"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L68"/>
  <sheetViews>
    <sheetView topLeftCell="A49" zoomScale="83" zoomScaleNormal="83" workbookViewId="0">
      <selection activeCell="P139" sqref="P139"/>
    </sheetView>
  </sheetViews>
  <sheetFormatPr defaultRowHeight="15" x14ac:dyDescent="0.2"/>
  <cols>
    <col min="1" max="2" width="7.6640625" style="902" customWidth="1"/>
    <col min="3" max="3" width="1.4765625" style="902" customWidth="1"/>
    <col min="4" max="4" width="3.765625" style="902" customWidth="1"/>
    <col min="5" max="5" width="23.67578125" style="902" customWidth="1"/>
    <col min="6" max="6" width="12.64453125" style="902" customWidth="1"/>
    <col min="7" max="7" width="8.7421875" style="902" customWidth="1"/>
    <col min="8" max="8" width="9.28125" style="902" customWidth="1"/>
    <col min="9" max="11" width="8.7421875" style="902" customWidth="1"/>
    <col min="12" max="12" width="10.76171875" style="902" customWidth="1"/>
    <col min="13" max="1025" width="8.7421875" customWidth="1"/>
  </cols>
  <sheetData>
    <row r="1" spans="1:12" x14ac:dyDescent="0.2">
      <c r="A1" s="1474"/>
      <c r="B1" s="1474"/>
      <c r="C1" s="1474"/>
      <c r="D1" s="1474"/>
      <c r="E1" s="1474"/>
      <c r="F1" s="1474"/>
      <c r="G1" s="1474"/>
      <c r="H1" s="1474"/>
      <c r="I1" s="1474"/>
      <c r="J1" s="1474"/>
      <c r="K1" s="1474"/>
      <c r="L1" s="1474"/>
    </row>
    <row r="2" spans="1:12" x14ac:dyDescent="0.2">
      <c r="A2" s="1475" t="s">
        <v>629</v>
      </c>
      <c r="B2" s="1475"/>
      <c r="C2" s="1475"/>
      <c r="D2" s="1475"/>
      <c r="E2" s="1475"/>
      <c r="F2" s="1475"/>
      <c r="G2" s="1475"/>
      <c r="H2" s="1475"/>
      <c r="I2" s="1475"/>
      <c r="J2" s="1475"/>
      <c r="K2" s="1475"/>
      <c r="L2" s="1475"/>
    </row>
    <row r="3" spans="1:12" x14ac:dyDescent="0.2">
      <c r="A3" s="1474"/>
      <c r="B3" s="1474"/>
      <c r="C3" s="1474"/>
      <c r="D3" s="1474"/>
      <c r="E3" s="1474"/>
      <c r="F3" s="1474"/>
      <c r="G3" s="1474"/>
      <c r="H3" s="1474"/>
      <c r="I3" s="1474"/>
      <c r="J3" s="1474"/>
      <c r="K3" s="1474"/>
      <c r="L3" s="1474"/>
    </row>
    <row r="4" spans="1:12" x14ac:dyDescent="0.2">
      <c r="A4" s="1476"/>
      <c r="B4" s="1476"/>
      <c r="C4" s="1476"/>
      <c r="D4" s="1476"/>
      <c r="E4" s="1476"/>
      <c r="F4" s="1476"/>
      <c r="G4" s="1476"/>
      <c r="H4" s="1476"/>
      <c r="I4" s="1476"/>
      <c r="J4" s="1476"/>
      <c r="K4" s="1476"/>
      <c r="L4" s="1476"/>
    </row>
    <row r="5" spans="1:12" x14ac:dyDescent="0.2">
      <c r="A5" s="1477"/>
      <c r="B5" s="1477"/>
      <c r="C5" s="1477"/>
      <c r="D5" s="1477"/>
      <c r="E5" s="1477"/>
      <c r="F5" s="1477"/>
      <c r="G5" s="1477"/>
      <c r="H5" s="1477"/>
      <c r="I5" s="1477"/>
      <c r="J5" s="1477"/>
      <c r="K5" s="1477"/>
      <c r="L5" s="903" t="s">
        <v>419</v>
      </c>
    </row>
    <row r="6" spans="1:12" x14ac:dyDescent="0.2">
      <c r="A6" s="1469"/>
      <c r="B6" s="1469"/>
      <c r="C6" s="1469"/>
      <c r="D6" s="1469"/>
      <c r="E6" s="1469"/>
      <c r="F6" s="1469"/>
      <c r="G6" s="1469"/>
      <c r="H6" s="1469"/>
      <c r="I6" s="1469"/>
      <c r="J6" s="1469"/>
      <c r="K6" s="1469"/>
      <c r="L6" s="1075"/>
    </row>
    <row r="7" spans="1:12" ht="13.9" customHeight="1" x14ac:dyDescent="0.2">
      <c r="A7" s="1469"/>
      <c r="B7" s="1469"/>
      <c r="C7" s="1469"/>
      <c r="D7" s="1469"/>
      <c r="E7" s="1469"/>
      <c r="F7" s="1469"/>
      <c r="G7" s="1469"/>
      <c r="H7" s="1469"/>
      <c r="I7" s="1469"/>
      <c r="J7" s="1469"/>
      <c r="K7" s="1469"/>
      <c r="L7" s="1470" t="s">
        <v>209</v>
      </c>
    </row>
    <row r="8" spans="1:12" x14ac:dyDescent="0.2">
      <c r="A8" s="904"/>
      <c r="B8" s="905"/>
      <c r="C8" s="906"/>
      <c r="D8" s="907"/>
      <c r="E8" s="908"/>
      <c r="F8" s="906"/>
      <c r="G8" s="906"/>
      <c r="H8" s="906"/>
      <c r="I8" s="906"/>
      <c r="J8" s="906"/>
      <c r="K8" s="909"/>
      <c r="L8" s="1470"/>
    </row>
    <row r="9" spans="1:12" x14ac:dyDescent="0.2">
      <c r="A9" s="910"/>
      <c r="B9" s="910"/>
      <c r="C9" s="911"/>
      <c r="D9" s="912"/>
      <c r="E9" s="912"/>
      <c r="F9" s="913"/>
      <c r="G9" s="913"/>
      <c r="H9" s="913"/>
      <c r="I9" s="913"/>
      <c r="J9" s="913"/>
      <c r="K9" s="913"/>
      <c r="L9" s="914"/>
    </row>
    <row r="10" spans="1:12" x14ac:dyDescent="0.2">
      <c r="A10" s="1471"/>
      <c r="B10" s="1471"/>
      <c r="C10" s="1471"/>
      <c r="D10" s="1471"/>
      <c r="E10" s="1471"/>
      <c r="F10" s="1471"/>
      <c r="G10" s="1471"/>
      <c r="H10" s="1471"/>
      <c r="I10" s="1471"/>
      <c r="J10" s="1471"/>
      <c r="K10" s="1471"/>
      <c r="L10" s="1471"/>
    </row>
    <row r="11" spans="1:12" x14ac:dyDescent="0.2">
      <c r="A11" s="915"/>
      <c r="B11" s="912"/>
      <c r="C11" s="911"/>
      <c r="D11" s="912"/>
      <c r="E11" s="911"/>
      <c r="F11" s="911"/>
      <c r="G11" s="911"/>
      <c r="H11" s="911"/>
      <c r="I11" s="911"/>
      <c r="J11" s="911"/>
      <c r="K11" s="911"/>
      <c r="L11" s="916"/>
    </row>
    <row r="12" spans="1:12" x14ac:dyDescent="0.2">
      <c r="A12" s="1472" t="s">
        <v>421</v>
      </c>
      <c r="B12" s="1472"/>
      <c r="C12" s="1472"/>
      <c r="D12" s="1472"/>
      <c r="E12" s="1542" t="s">
        <v>648</v>
      </c>
      <c r="F12" s="1542"/>
      <c r="G12" s="1542"/>
      <c r="H12" s="1542"/>
      <c r="I12" s="1542"/>
      <c r="J12" s="1542"/>
      <c r="K12" s="1542"/>
      <c r="L12" s="1542"/>
    </row>
    <row r="13" spans="1:12" x14ac:dyDescent="0.2">
      <c r="A13" s="920"/>
      <c r="B13" s="907"/>
      <c r="C13" s="921"/>
      <c r="D13" s="907"/>
      <c r="E13" s="907"/>
      <c r="F13" s="906"/>
      <c r="G13" s="906"/>
      <c r="H13" s="906"/>
      <c r="I13" s="906"/>
      <c r="J13" s="906"/>
      <c r="K13" s="906"/>
      <c r="L13" s="922"/>
    </row>
    <row r="14" spans="1:12" x14ac:dyDescent="0.2">
      <c r="A14" s="913"/>
      <c r="B14" s="913"/>
      <c r="C14" s="913"/>
      <c r="D14" s="913"/>
      <c r="E14" s="913"/>
      <c r="F14" s="913"/>
      <c r="G14" s="913"/>
      <c r="H14" s="913"/>
      <c r="I14" s="913"/>
      <c r="J14" s="913"/>
      <c r="K14" s="913"/>
      <c r="L14" s="914"/>
    </row>
    <row r="15" spans="1:12" x14ac:dyDescent="0.2">
      <c r="A15" s="1473" t="s">
        <v>422</v>
      </c>
      <c r="B15" s="1473"/>
      <c r="C15" s="1473"/>
      <c r="D15" s="1473"/>
      <c r="E15" s="1473"/>
      <c r="F15" s="1473"/>
      <c r="G15" s="1473"/>
      <c r="H15" s="1473"/>
      <c r="I15" s="1473"/>
      <c r="J15" s="1473"/>
      <c r="K15" s="1473"/>
      <c r="L15" s="1473"/>
    </row>
    <row r="16" spans="1:12" x14ac:dyDescent="0.2">
      <c r="A16" s="1473"/>
      <c r="B16" s="1473"/>
      <c r="C16" s="1473"/>
      <c r="D16" s="1473"/>
      <c r="E16" s="1473"/>
      <c r="F16" s="1473"/>
      <c r="G16" s="1473"/>
      <c r="H16" s="1473"/>
      <c r="I16" s="1473"/>
      <c r="J16" s="1473"/>
      <c r="K16" s="1473"/>
      <c r="L16" s="1473"/>
    </row>
    <row r="17" spans="1:12" x14ac:dyDescent="0.2">
      <c r="A17" s="923"/>
      <c r="B17" s="923"/>
      <c r="C17" s="923"/>
      <c r="D17" s="923"/>
      <c r="E17" s="923"/>
      <c r="F17" s="923"/>
      <c r="G17" s="923"/>
      <c r="H17" s="923"/>
      <c r="I17" s="923"/>
      <c r="J17" s="923"/>
      <c r="K17" s="923"/>
      <c r="L17" s="923"/>
    </row>
    <row r="18" spans="1:12" x14ac:dyDescent="0.2">
      <c r="A18" s="924" t="s">
        <v>423</v>
      </c>
      <c r="B18" s="925"/>
      <c r="C18" s="925"/>
      <c r="D18" s="926" t="s">
        <v>209</v>
      </c>
      <c r="E18" s="1290" t="s">
        <v>614</v>
      </c>
      <c r="F18" s="1290"/>
      <c r="G18" s="1290"/>
      <c r="H18" s="1290"/>
      <c r="I18" s="1290"/>
      <c r="J18" s="929"/>
      <c r="K18" s="928" t="s">
        <v>425</v>
      </c>
      <c r="L18" s="929" t="s">
        <v>426</v>
      </c>
    </row>
    <row r="19" spans="1:12" x14ac:dyDescent="0.2">
      <c r="A19" s="910"/>
      <c r="B19" s="910"/>
      <c r="C19" s="910"/>
      <c r="D19" s="910"/>
      <c r="E19" s="910"/>
      <c r="F19" s="910"/>
      <c r="G19" s="910"/>
      <c r="H19" s="910"/>
      <c r="I19" s="910"/>
      <c r="J19" s="910"/>
      <c r="K19" s="910"/>
      <c r="L19" s="910"/>
    </row>
    <row r="20" spans="1:12" x14ac:dyDescent="0.2">
      <c r="A20" s="1462" t="s">
        <v>434</v>
      </c>
      <c r="B20" s="1462"/>
      <c r="C20" s="1462"/>
      <c r="D20" s="1462"/>
      <c r="E20" s="1462"/>
      <c r="F20" s="1462"/>
      <c r="G20" s="1460" t="s">
        <v>166</v>
      </c>
      <c r="H20" s="1460" t="s">
        <v>362</v>
      </c>
      <c r="I20" s="1460"/>
      <c r="J20" s="1500" t="s">
        <v>483</v>
      </c>
      <c r="K20" s="1500"/>
      <c r="L20" s="1076" t="s">
        <v>484</v>
      </c>
    </row>
    <row r="21" spans="1:12" x14ac:dyDescent="0.2">
      <c r="A21" s="1462"/>
      <c r="B21" s="1462"/>
      <c r="C21" s="1462"/>
      <c r="D21" s="1462"/>
      <c r="E21" s="1462"/>
      <c r="F21" s="1462"/>
      <c r="G21" s="1460"/>
      <c r="H21" s="943" t="s">
        <v>485</v>
      </c>
      <c r="I21" s="1077" t="s">
        <v>486</v>
      </c>
      <c r="J21" s="943" t="s">
        <v>485</v>
      </c>
      <c r="K21" s="1077" t="s">
        <v>486</v>
      </c>
      <c r="L21" s="1026" t="s">
        <v>487</v>
      </c>
    </row>
    <row r="22" spans="1:12" x14ac:dyDescent="0.2">
      <c r="A22" s="1043"/>
      <c r="B22" s="1131"/>
      <c r="C22" s="979"/>
      <c r="D22" s="1520"/>
      <c r="E22" s="1520"/>
      <c r="F22" s="1520"/>
      <c r="G22" s="1112"/>
      <c r="H22" s="1116"/>
      <c r="I22" s="961"/>
      <c r="J22" s="986"/>
      <c r="K22" s="986"/>
      <c r="L22" s="986">
        <f>ROUND((G22*H22*J22)+(G22*I22*K22),4)</f>
        <v>0</v>
      </c>
    </row>
    <row r="23" spans="1:12" x14ac:dyDescent="0.2">
      <c r="A23" s="1043"/>
      <c r="B23" s="1130"/>
      <c r="C23" s="979"/>
      <c r="D23" s="1479"/>
      <c r="E23" s="1479"/>
      <c r="F23" s="1479"/>
      <c r="G23" s="1112"/>
      <c r="H23" s="1116"/>
      <c r="I23" s="961"/>
      <c r="J23" s="986"/>
      <c r="K23" s="986"/>
      <c r="L23" s="986">
        <f>ROUND((G23*H23*J23)+(G23*I23*K23),4)</f>
        <v>0</v>
      </c>
    </row>
    <row r="24" spans="1:12" x14ac:dyDescent="0.2">
      <c r="A24" s="1043"/>
      <c r="B24" s="1130"/>
      <c r="C24" s="979"/>
      <c r="D24" s="1519"/>
      <c r="E24" s="1519"/>
      <c r="F24" s="1519"/>
      <c r="G24" s="1112"/>
      <c r="H24" s="1116"/>
      <c r="I24" s="961"/>
      <c r="J24" s="986"/>
      <c r="K24" s="963"/>
      <c r="L24" s="986">
        <f>ROUND((G24*H24*J24)+(G24*I24*K24),4)</f>
        <v>0</v>
      </c>
    </row>
    <row r="25" spans="1:12" x14ac:dyDescent="0.2">
      <c r="A25" s="1153"/>
      <c r="B25" s="942"/>
      <c r="C25" s="979"/>
      <c r="D25" s="942"/>
      <c r="E25" s="942"/>
      <c r="F25" s="942"/>
      <c r="G25" s="1096"/>
      <c r="H25" s="1116"/>
      <c r="I25" s="961"/>
      <c r="J25" s="1086"/>
      <c r="K25" s="1087"/>
      <c r="L25" s="986">
        <f>ROUND((G25*H25*J25)+(G25*I25*K25),4)</f>
        <v>0</v>
      </c>
    </row>
    <row r="26" spans="1:12" x14ac:dyDescent="0.2">
      <c r="A26" s="1497" t="s">
        <v>488</v>
      </c>
      <c r="B26" s="1497"/>
      <c r="C26" s="1497"/>
      <c r="D26" s="1497"/>
      <c r="E26" s="1497"/>
      <c r="F26" s="1497"/>
      <c r="G26" s="1497"/>
      <c r="H26" s="1497"/>
      <c r="I26" s="1497"/>
      <c r="J26" s="1497"/>
      <c r="K26" s="1497"/>
      <c r="L26" s="1035">
        <f>ROUND(SUM(L22:L25),4)</f>
        <v>0</v>
      </c>
    </row>
    <row r="27" spans="1:12" x14ac:dyDescent="0.2">
      <c r="A27" s="930"/>
      <c r="B27" s="930"/>
      <c r="C27" s="930"/>
      <c r="D27" s="930"/>
      <c r="E27" s="930"/>
      <c r="F27" s="930"/>
      <c r="G27" s="930"/>
      <c r="H27" s="1023"/>
      <c r="I27" s="1023"/>
      <c r="J27" s="1023"/>
      <c r="K27" s="1023"/>
      <c r="L27" s="1099"/>
    </row>
    <row r="28" spans="1:12" ht="13.9" customHeight="1" x14ac:dyDescent="0.2">
      <c r="A28" s="1462" t="s">
        <v>447</v>
      </c>
      <c r="B28" s="1462"/>
      <c r="C28" s="1462"/>
      <c r="D28" s="1462"/>
      <c r="E28" s="1462"/>
      <c r="F28" s="1462"/>
      <c r="G28" s="1462"/>
      <c r="H28" s="1462"/>
      <c r="I28" s="1462"/>
      <c r="J28" s="1460" t="s">
        <v>166</v>
      </c>
      <c r="K28" s="1452" t="s">
        <v>489</v>
      </c>
      <c r="L28" s="1132" t="s">
        <v>449</v>
      </c>
    </row>
    <row r="29" spans="1:12" x14ac:dyDescent="0.2">
      <c r="A29" s="1462"/>
      <c r="B29" s="1462"/>
      <c r="C29" s="1462"/>
      <c r="D29" s="1462"/>
      <c r="E29" s="1462"/>
      <c r="F29" s="1462"/>
      <c r="G29" s="1462"/>
      <c r="H29" s="1462"/>
      <c r="I29" s="1462"/>
      <c r="J29" s="1460"/>
      <c r="K29" s="1452"/>
      <c r="L29" s="1097" t="s">
        <v>487</v>
      </c>
    </row>
    <row r="30" spans="1:12" x14ac:dyDescent="0.2">
      <c r="A30" s="1078"/>
      <c r="B30" s="1130"/>
      <c r="C30" s="979"/>
      <c r="D30" s="1527"/>
      <c r="E30" s="1527"/>
      <c r="F30" s="1527"/>
      <c r="G30" s="1527"/>
      <c r="H30" s="1527"/>
      <c r="I30" s="1527"/>
      <c r="J30" s="1080"/>
      <c r="K30" s="1132"/>
      <c r="L30" s="964">
        <f>ROUND(J30*K30,4)</f>
        <v>0</v>
      </c>
    </row>
    <row r="31" spans="1:12" x14ac:dyDescent="0.2">
      <c r="A31" s="1043"/>
      <c r="B31" s="1130"/>
      <c r="C31" s="979"/>
      <c r="D31" s="942"/>
      <c r="E31" s="942"/>
      <c r="F31" s="942"/>
      <c r="G31" s="942"/>
      <c r="H31" s="942"/>
      <c r="I31" s="1144"/>
      <c r="J31" s="1080"/>
      <c r="K31" s="1020"/>
      <c r="L31" s="1243">
        <f>ROUND(J31*K31,4)</f>
        <v>0</v>
      </c>
    </row>
    <row r="32" spans="1:12" x14ac:dyDescent="0.2">
      <c r="A32" s="1149"/>
      <c r="B32" s="1150"/>
      <c r="C32" s="979"/>
      <c r="D32" s="1525"/>
      <c r="E32" s="1525"/>
      <c r="F32" s="1525"/>
      <c r="G32" s="1525"/>
      <c r="H32" s="1525"/>
      <c r="I32" s="1525"/>
      <c r="J32" s="1080"/>
      <c r="K32" s="1020"/>
      <c r="L32" s="1243">
        <f>ROUND(J32*K32,4)</f>
        <v>0</v>
      </c>
    </row>
    <row r="33" spans="1:12" x14ac:dyDescent="0.2">
      <c r="A33" s="1082"/>
      <c r="B33" s="1083"/>
      <c r="C33" s="1083"/>
      <c r="D33" s="1083"/>
      <c r="E33" s="1083"/>
      <c r="F33" s="1083"/>
      <c r="G33" s="905"/>
      <c r="H33" s="1077"/>
      <c r="I33" s="1095"/>
      <c r="J33" s="1085"/>
      <c r="K33" s="1020"/>
      <c r="L33" s="1243">
        <f>ROUND(J33*K33,4)</f>
        <v>0</v>
      </c>
    </row>
    <row r="34" spans="1:12" x14ac:dyDescent="0.2">
      <c r="A34" s="1497" t="s">
        <v>490</v>
      </c>
      <c r="B34" s="1497"/>
      <c r="C34" s="1497"/>
      <c r="D34" s="1497"/>
      <c r="E34" s="1497"/>
      <c r="F34" s="1497"/>
      <c r="G34" s="1497"/>
      <c r="H34" s="1497"/>
      <c r="I34" s="1497"/>
      <c r="J34" s="1497"/>
      <c r="K34" s="1497"/>
      <c r="L34" s="1035">
        <f>ROUND(SUM(L30:L33),4)</f>
        <v>0</v>
      </c>
    </row>
    <row r="35" spans="1:12" x14ac:dyDescent="0.2">
      <c r="A35" s="930"/>
      <c r="B35" s="930"/>
      <c r="C35" s="930"/>
      <c r="D35" s="930"/>
      <c r="E35" s="930"/>
      <c r="F35" s="930"/>
      <c r="G35" s="930"/>
      <c r="H35" s="930"/>
      <c r="I35" s="930"/>
      <c r="J35" s="1023"/>
      <c r="K35" s="1023"/>
      <c r="L35" s="1099"/>
    </row>
    <row r="36" spans="1:12" x14ac:dyDescent="0.2">
      <c r="A36" s="930"/>
      <c r="B36" s="930"/>
      <c r="C36" s="930"/>
      <c r="D36" s="930"/>
      <c r="E36" s="930"/>
      <c r="F36" s="930"/>
      <c r="G36" s="930"/>
      <c r="H36" s="930"/>
      <c r="I36" s="930"/>
      <c r="J36" s="1023"/>
      <c r="K36" s="1100" t="s">
        <v>491</v>
      </c>
      <c r="L36" s="1260">
        <f>L26+L34</f>
        <v>0</v>
      </c>
    </row>
    <row r="37" spans="1:12" x14ac:dyDescent="0.2">
      <c r="A37" s="1102" t="s">
        <v>492</v>
      </c>
      <c r="B37" s="930"/>
      <c r="C37" s="930"/>
      <c r="D37" s="930"/>
      <c r="E37" s="930"/>
      <c r="F37" s="1103">
        <v>1</v>
      </c>
      <c r="G37" s="1257" t="str">
        <f>L18</f>
        <v xml:space="preserve">un </v>
      </c>
      <c r="H37" s="1102"/>
      <c r="I37" s="930"/>
      <c r="J37" s="1105"/>
      <c r="K37" s="1106" t="s">
        <v>493</v>
      </c>
      <c r="L37" s="1035">
        <f>ROUND(L36/F37,4)</f>
        <v>0</v>
      </c>
    </row>
    <row r="38" spans="1:12" x14ac:dyDescent="0.2">
      <c r="A38" s="1102"/>
      <c r="B38" s="930" t="s">
        <v>494</v>
      </c>
      <c r="C38" s="930"/>
      <c r="D38" s="930"/>
      <c r="E38" s="930"/>
      <c r="F38" s="1103"/>
      <c r="G38" s="1104"/>
      <c r="H38" s="1102"/>
      <c r="I38" s="930"/>
      <c r="J38" s="1105"/>
      <c r="K38" s="1100" t="s">
        <v>495</v>
      </c>
      <c r="L38" s="1035">
        <f>ROUND(L37*F38,4)</f>
        <v>0</v>
      </c>
    </row>
    <row r="39" spans="1:12" x14ac:dyDescent="0.2">
      <c r="A39" s="1102"/>
      <c r="B39" s="930" t="s">
        <v>496</v>
      </c>
      <c r="C39" s="930"/>
      <c r="D39" s="930"/>
      <c r="E39" s="930"/>
      <c r="F39" s="1202"/>
      <c r="G39" s="1104"/>
      <c r="H39" s="1105"/>
      <c r="I39" s="1107"/>
      <c r="J39" s="1023"/>
      <c r="K39" s="1100" t="s">
        <v>497</v>
      </c>
      <c r="L39" s="968">
        <f>ROUND(L37*F39,4)</f>
        <v>0</v>
      </c>
    </row>
    <row r="40" spans="1:12" x14ac:dyDescent="0.2">
      <c r="A40" s="930"/>
      <c r="B40" s="930"/>
      <c r="C40" s="930"/>
      <c r="D40" s="930"/>
      <c r="E40" s="930"/>
      <c r="F40" s="930"/>
      <c r="G40" s="930"/>
      <c r="H40" s="930"/>
      <c r="I40" s="930"/>
      <c r="J40" s="1023"/>
      <c r="K40" s="1023"/>
      <c r="L40" s="1261"/>
    </row>
    <row r="41" spans="1:12" x14ac:dyDescent="0.2">
      <c r="A41" s="1462" t="s">
        <v>498</v>
      </c>
      <c r="B41" s="1462"/>
      <c r="C41" s="1462"/>
      <c r="D41" s="1462"/>
      <c r="E41" s="1462"/>
      <c r="F41" s="1462"/>
      <c r="G41" s="1462"/>
      <c r="H41" s="1462"/>
      <c r="I41" s="1456" t="s">
        <v>499</v>
      </c>
      <c r="J41" s="1456"/>
      <c r="K41" s="1456"/>
      <c r="L41" s="1208">
        <f>ROUND(SUM(L37:L40),4)</f>
        <v>0</v>
      </c>
    </row>
    <row r="42" spans="1:12" x14ac:dyDescent="0.2">
      <c r="A42" s="910"/>
      <c r="B42" s="910"/>
      <c r="C42" s="910"/>
      <c r="D42" s="910"/>
      <c r="E42" s="910"/>
      <c r="F42" s="910"/>
      <c r="G42" s="1109"/>
      <c r="H42" s="1109"/>
      <c r="I42" s="933"/>
      <c r="J42" s="933"/>
      <c r="K42" s="933"/>
      <c r="L42" s="1296"/>
    </row>
    <row r="43" spans="1:12" x14ac:dyDescent="0.2">
      <c r="A43" s="1462" t="s">
        <v>500</v>
      </c>
      <c r="B43" s="1462"/>
      <c r="C43" s="1462"/>
      <c r="D43" s="1462"/>
      <c r="E43" s="1462"/>
      <c r="F43" s="1462"/>
      <c r="G43" s="1462"/>
      <c r="H43" s="1460" t="s">
        <v>166</v>
      </c>
      <c r="I43" s="1460"/>
      <c r="J43" s="1460" t="s">
        <v>165</v>
      </c>
      <c r="K43" s="1076" t="s">
        <v>501</v>
      </c>
      <c r="L43" s="1132" t="s">
        <v>484</v>
      </c>
    </row>
    <row r="44" spans="1:12" x14ac:dyDescent="0.2">
      <c r="A44" s="1462"/>
      <c r="B44" s="1462"/>
      <c r="C44" s="1462"/>
      <c r="D44" s="1462"/>
      <c r="E44" s="1462"/>
      <c r="F44" s="1462"/>
      <c r="G44" s="1462"/>
      <c r="H44" s="1460"/>
      <c r="I44" s="1460"/>
      <c r="J44" s="1460"/>
      <c r="K44" s="1110" t="s">
        <v>451</v>
      </c>
      <c r="L44" s="1097" t="s">
        <v>451</v>
      </c>
    </row>
    <row r="45" spans="1:12" ht="19.5" customHeight="1" x14ac:dyDescent="0.2">
      <c r="A45" s="1533" t="s">
        <v>764</v>
      </c>
      <c r="B45" s="1533"/>
      <c r="C45" s="979" t="s">
        <v>442</v>
      </c>
      <c r="D45" s="1479" t="s">
        <v>765</v>
      </c>
      <c r="E45" s="1479"/>
      <c r="F45" s="1479"/>
      <c r="G45" s="1479"/>
      <c r="H45" s="1496">
        <v>11.584</v>
      </c>
      <c r="I45" s="1496"/>
      <c r="J45" s="1113" t="s">
        <v>482</v>
      </c>
      <c r="K45" s="1044">
        <v>77.88</v>
      </c>
      <c r="L45" s="986">
        <f>ROUND(H45*K45,4)</f>
        <v>902.16189999999995</v>
      </c>
    </row>
    <row r="46" spans="1:12" ht="17.25" customHeight="1" x14ac:dyDescent="0.2">
      <c r="A46" s="1537" t="s">
        <v>772</v>
      </c>
      <c r="B46" s="1537"/>
      <c r="C46" s="979" t="s">
        <v>442</v>
      </c>
      <c r="D46" s="1525" t="s">
        <v>773</v>
      </c>
      <c r="E46" s="1525"/>
      <c r="F46" s="1525"/>
      <c r="G46" s="1525"/>
      <c r="H46" s="1496">
        <v>5.8160000000000003E-2</v>
      </c>
      <c r="I46" s="1496"/>
      <c r="J46" s="1113" t="s">
        <v>581</v>
      </c>
      <c r="K46" s="1044">
        <v>356.19</v>
      </c>
      <c r="L46" s="986">
        <f>ROUND(H46*K46,4)</f>
        <v>20.716000000000001</v>
      </c>
    </row>
    <row r="47" spans="1:12" ht="21.75" customHeight="1" x14ac:dyDescent="0.2">
      <c r="A47" s="1537" t="s">
        <v>768</v>
      </c>
      <c r="B47" s="1537"/>
      <c r="C47" s="979" t="s">
        <v>442</v>
      </c>
      <c r="D47" s="1479" t="s">
        <v>769</v>
      </c>
      <c r="E47" s="1479"/>
      <c r="F47" s="1479"/>
      <c r="G47" s="1479"/>
      <c r="H47" s="1496">
        <v>2.0095999999999998</v>
      </c>
      <c r="I47" s="1496"/>
      <c r="J47" s="1113" t="s">
        <v>581</v>
      </c>
      <c r="K47" s="1044">
        <v>328.93</v>
      </c>
      <c r="L47" s="986">
        <f>ROUND(H47*K47,4)</f>
        <v>661.01769999999999</v>
      </c>
    </row>
    <row r="48" spans="1:12" x14ac:dyDescent="0.2">
      <c r="A48" s="1537"/>
      <c r="B48" s="1537"/>
      <c r="C48" s="979"/>
      <c r="D48" s="1525"/>
      <c r="E48" s="1525"/>
      <c r="F48" s="1525"/>
      <c r="G48" s="1525"/>
      <c r="H48" s="1496"/>
      <c r="I48" s="1496"/>
      <c r="J48" s="1113"/>
      <c r="K48" s="1044"/>
      <c r="L48" s="986">
        <f>ROUND(H48*K48,4)</f>
        <v>0</v>
      </c>
    </row>
    <row r="49" spans="1:12" x14ac:dyDescent="0.2">
      <c r="A49" s="1282"/>
      <c r="B49" s="1283"/>
      <c r="C49" s="1077"/>
      <c r="D49" s="1540"/>
      <c r="E49" s="1540"/>
      <c r="F49" s="1540"/>
      <c r="G49" s="1540"/>
      <c r="H49" s="1544"/>
      <c r="I49" s="1544"/>
      <c r="J49" s="1284"/>
      <c r="K49" s="1285"/>
      <c r="L49" s="1098">
        <f>ROUND(H49*K49,4)</f>
        <v>0</v>
      </c>
    </row>
    <row r="50" spans="1:12" x14ac:dyDescent="0.2">
      <c r="A50" s="1541" t="s">
        <v>502</v>
      </c>
      <c r="B50" s="1541"/>
      <c r="C50" s="1541"/>
      <c r="D50" s="1541"/>
      <c r="E50" s="1541"/>
      <c r="F50" s="1541"/>
      <c r="G50" s="1541"/>
      <c r="H50" s="1541"/>
      <c r="I50" s="1541"/>
      <c r="J50" s="1541"/>
      <c r="K50" s="1541"/>
      <c r="L50" s="1025">
        <f>ROUND(SUM(L45:L49),4)</f>
        <v>1583.8956000000001</v>
      </c>
    </row>
    <row r="51" spans="1:12" x14ac:dyDescent="0.2">
      <c r="A51" s="1541"/>
      <c r="B51" s="1541"/>
      <c r="C51" s="1541"/>
      <c r="D51" s="1541"/>
      <c r="E51" s="1541"/>
      <c r="F51" s="1541"/>
      <c r="G51" s="1541"/>
      <c r="H51" s="1541"/>
      <c r="I51" s="1541"/>
      <c r="J51" s="1541"/>
      <c r="K51" s="1541"/>
      <c r="L51" s="1255"/>
    </row>
    <row r="52" spans="1:12" ht="13.9" customHeight="1" x14ac:dyDescent="0.2">
      <c r="A52" s="1462" t="s">
        <v>503</v>
      </c>
      <c r="B52" s="1462"/>
      <c r="C52" s="1462"/>
      <c r="D52" s="1462"/>
      <c r="E52" s="1462"/>
      <c r="F52" s="1462"/>
      <c r="G52" s="1452" t="s">
        <v>504</v>
      </c>
      <c r="H52" s="1460" t="s">
        <v>505</v>
      </c>
      <c r="I52" s="1460"/>
      <c r="J52" s="1460"/>
      <c r="K52" s="1460"/>
      <c r="L52" s="1543" t="s">
        <v>506</v>
      </c>
    </row>
    <row r="53" spans="1:12" x14ac:dyDescent="0.2">
      <c r="A53" s="1462"/>
      <c r="B53" s="1462"/>
      <c r="C53" s="1462"/>
      <c r="D53" s="1462"/>
      <c r="E53" s="1462"/>
      <c r="F53" s="1462"/>
      <c r="G53" s="1452"/>
      <c r="H53" s="944" t="s">
        <v>112</v>
      </c>
      <c r="I53" s="1095" t="s">
        <v>380</v>
      </c>
      <c r="J53" s="1026" t="s">
        <v>383</v>
      </c>
      <c r="K53" s="1110" t="s">
        <v>385</v>
      </c>
      <c r="L53" s="1543"/>
    </row>
    <row r="54" spans="1:12" x14ac:dyDescent="0.2">
      <c r="A54" s="1462"/>
      <c r="B54" s="1462"/>
      <c r="C54" s="1462"/>
      <c r="D54" s="1462"/>
      <c r="E54" s="1462"/>
      <c r="F54" s="1462"/>
      <c r="G54" s="1452"/>
      <c r="H54" s="943" t="s">
        <v>507</v>
      </c>
      <c r="I54" s="1119"/>
      <c r="J54" s="1119"/>
      <c r="K54" s="1119"/>
      <c r="L54" s="1543"/>
    </row>
    <row r="55" spans="1:12" x14ac:dyDescent="0.2">
      <c r="A55" s="1539"/>
      <c r="B55" s="1489"/>
      <c r="C55" s="1490"/>
      <c r="D55" s="1502"/>
      <c r="E55" s="1502"/>
      <c r="F55" s="1503"/>
      <c r="G55" s="1493"/>
      <c r="H55" s="1120" t="s">
        <v>508</v>
      </c>
      <c r="I55" s="1293"/>
      <c r="J55" s="1293"/>
      <c r="K55" s="1293"/>
      <c r="L55" s="1494">
        <f>ROUND(G55*($I$54*I56+$J$54*J56+$K$54*K56),4)</f>
        <v>0</v>
      </c>
    </row>
    <row r="56" spans="1:12" x14ac:dyDescent="0.2">
      <c r="A56" s="1539"/>
      <c r="B56" s="1489"/>
      <c r="C56" s="1490"/>
      <c r="D56" s="1502"/>
      <c r="E56" s="1502"/>
      <c r="F56" s="1503"/>
      <c r="G56" s="1493"/>
      <c r="H56" s="1122" t="s">
        <v>509</v>
      </c>
      <c r="I56" s="1294"/>
      <c r="J56" s="1294"/>
      <c r="K56" s="1294"/>
      <c r="L56" s="1494"/>
    </row>
    <row r="57" spans="1:12" x14ac:dyDescent="0.2">
      <c r="A57" s="1149"/>
      <c r="B57" s="1150"/>
      <c r="C57" s="979"/>
      <c r="D57" s="1519"/>
      <c r="E57" s="1519"/>
      <c r="F57" s="1519"/>
      <c r="G57" s="1112"/>
      <c r="H57" s="1286"/>
      <c r="I57" s="1286"/>
      <c r="J57" s="1137"/>
      <c r="K57" s="1287"/>
      <c r="L57" s="1138"/>
    </row>
    <row r="58" spans="1:12" x14ac:dyDescent="0.2">
      <c r="A58" s="1082"/>
      <c r="B58" s="942"/>
      <c r="C58" s="979"/>
      <c r="D58" s="1083"/>
      <c r="E58" s="1083"/>
      <c r="F58" s="1083"/>
      <c r="G58" s="1096"/>
      <c r="H58" s="1288"/>
      <c r="I58" s="1288"/>
      <c r="J58" s="1137"/>
      <c r="K58" s="1289"/>
      <c r="L58" s="1138"/>
    </row>
    <row r="59" spans="1:12" x14ac:dyDescent="0.2">
      <c r="A59" s="1454" t="s">
        <v>510</v>
      </c>
      <c r="B59" s="1454"/>
      <c r="C59" s="1454"/>
      <c r="D59" s="1454"/>
      <c r="E59" s="1454"/>
      <c r="F59" s="1454"/>
      <c r="G59" s="1454"/>
      <c r="H59" s="1454"/>
      <c r="I59" s="1454"/>
      <c r="J59" s="1454"/>
      <c r="K59" s="1454"/>
      <c r="L59" s="1025">
        <f>ROUND(SUM(L55:L58),4)</f>
        <v>0</v>
      </c>
    </row>
    <row r="60" spans="1:12" x14ac:dyDescent="0.2">
      <c r="A60" s="1049"/>
      <c r="B60" s="1049"/>
      <c r="C60" s="1049"/>
      <c r="D60" s="1049"/>
      <c r="E60" s="1049"/>
      <c r="F60" s="1049"/>
      <c r="G60" s="932"/>
      <c r="H60" s="1050"/>
      <c r="I60" s="1050"/>
      <c r="J60" s="1051"/>
      <c r="K60" s="1052"/>
      <c r="L60" s="1125"/>
    </row>
    <row r="61" spans="1:12" x14ac:dyDescent="0.2">
      <c r="A61" s="1454" t="s">
        <v>460</v>
      </c>
      <c r="B61" s="1454"/>
      <c r="C61" s="1454"/>
      <c r="D61" s="1454"/>
      <c r="E61" s="1454"/>
      <c r="F61" s="1454"/>
      <c r="G61" s="1454"/>
      <c r="H61" s="1454"/>
      <c r="I61" s="1454"/>
      <c r="J61" s="1454"/>
      <c r="K61" s="1454"/>
      <c r="L61" s="1025">
        <f>ROUND(L41+L50+L59,4)</f>
        <v>1583.8956000000001</v>
      </c>
    </row>
    <row r="62" spans="1:12" x14ac:dyDescent="0.2">
      <c r="A62" s="1455" t="s">
        <v>461</v>
      </c>
      <c r="B62" s="1455"/>
      <c r="C62" s="1455"/>
      <c r="D62" s="1455"/>
      <c r="E62" s="1455"/>
      <c r="F62" s="1455"/>
      <c r="G62" s="1455"/>
      <c r="H62" s="1455"/>
      <c r="I62" s="1455"/>
      <c r="J62" s="1455"/>
      <c r="K62" s="1055">
        <v>0.25569999999999998</v>
      </c>
      <c r="L62" s="1056">
        <f>ROUND(L61*K62,4)</f>
        <v>405.00209999999998</v>
      </c>
    </row>
    <row r="63" spans="1:12" x14ac:dyDescent="0.2">
      <c r="A63" s="1456" t="s">
        <v>462</v>
      </c>
      <c r="B63" s="1456"/>
      <c r="C63" s="1456"/>
      <c r="D63" s="1456"/>
      <c r="E63" s="1456"/>
      <c r="F63" s="1456"/>
      <c r="G63" s="1456"/>
      <c r="H63" s="1456"/>
      <c r="I63" s="1456"/>
      <c r="J63" s="1456"/>
      <c r="K63" s="1456"/>
      <c r="L63" s="1238">
        <f>ROUND(L61+L62,2)</f>
        <v>1988.9</v>
      </c>
    </row>
    <row r="64" spans="1:12" x14ac:dyDescent="0.2">
      <c r="A64" s="1058"/>
      <c r="B64" s="1058"/>
      <c r="C64" s="1058"/>
      <c r="D64" s="1058"/>
      <c r="E64" s="1058"/>
      <c r="F64" s="1058"/>
      <c r="G64" s="1058"/>
      <c r="H64" s="1058"/>
      <c r="I64" s="1058"/>
      <c r="J64" s="1058"/>
      <c r="K64" s="1058"/>
      <c r="L64" s="1058"/>
    </row>
    <row r="65" spans="1:12" ht="26.25" customHeight="1" x14ac:dyDescent="0.2">
      <c r="A65" s="1059" t="s">
        <v>463</v>
      </c>
      <c r="B65" s="1060"/>
      <c r="C65" s="1518" t="s">
        <v>615</v>
      </c>
      <c r="D65" s="1518"/>
      <c r="E65" s="1518"/>
      <c r="F65" s="1518"/>
      <c r="G65" s="1518"/>
      <c r="H65" s="1518"/>
      <c r="I65" s="1518"/>
      <c r="J65" s="1518"/>
      <c r="K65" s="1518"/>
      <c r="L65" s="1518"/>
    </row>
    <row r="66" spans="1:12" x14ac:dyDescent="0.2">
      <c r="A66" s="1210"/>
      <c r="B66" s="1184"/>
      <c r="C66" s="1528"/>
      <c r="D66" s="1528"/>
      <c r="E66" s="1528"/>
      <c r="F66" s="1528"/>
      <c r="G66" s="1528"/>
      <c r="H66" s="1528"/>
      <c r="I66" s="1528"/>
      <c r="J66" s="1528"/>
      <c r="K66" s="1528"/>
      <c r="L66" s="1528"/>
    </row>
    <row r="67" spans="1:12" x14ac:dyDescent="0.2">
      <c r="A67" s="1210"/>
      <c r="B67" s="1184"/>
      <c r="C67" s="1184"/>
      <c r="D67" s="1184"/>
      <c r="E67" s="1184"/>
      <c r="F67" s="1184"/>
      <c r="G67" s="1184"/>
      <c r="H67" s="1184"/>
      <c r="I67" s="1184"/>
      <c r="J67" s="1184"/>
      <c r="K67" s="1184"/>
      <c r="L67" s="1253"/>
    </row>
    <row r="68" spans="1:12" x14ac:dyDescent="0.2">
      <c r="A68" s="1071"/>
      <c r="B68" s="1129"/>
      <c r="C68" s="1129"/>
      <c r="D68" s="1129"/>
      <c r="E68" s="1129"/>
      <c r="F68" s="1129"/>
      <c r="G68" s="1129"/>
      <c r="H68" s="1129"/>
      <c r="I68" s="1129"/>
      <c r="J68" s="1129"/>
      <c r="K68" s="1129"/>
      <c r="L68" s="1254"/>
    </row>
  </sheetData>
  <mergeCells count="64">
    <mergeCell ref="A1:L1"/>
    <mergeCell ref="A2:L2"/>
    <mergeCell ref="A3:L3"/>
    <mergeCell ref="A4:L4"/>
    <mergeCell ref="A5:K5"/>
    <mergeCell ref="A6:K6"/>
    <mergeCell ref="A7:K7"/>
    <mergeCell ref="L7:L8"/>
    <mergeCell ref="A10:L10"/>
    <mergeCell ref="A12:D12"/>
    <mergeCell ref="E12:L12"/>
    <mergeCell ref="A15:L16"/>
    <mergeCell ref="A20:F21"/>
    <mergeCell ref="G20:G21"/>
    <mergeCell ref="H20:I20"/>
    <mergeCell ref="J20:K20"/>
    <mergeCell ref="D22:F22"/>
    <mergeCell ref="D23:F23"/>
    <mergeCell ref="D24:F24"/>
    <mergeCell ref="A26:K26"/>
    <mergeCell ref="A28:I29"/>
    <mergeCell ref="J28:J29"/>
    <mergeCell ref="K28:K29"/>
    <mergeCell ref="D30:I30"/>
    <mergeCell ref="D32:I32"/>
    <mergeCell ref="A34:K34"/>
    <mergeCell ref="A41:H41"/>
    <mergeCell ref="I41:K41"/>
    <mergeCell ref="A43:G44"/>
    <mergeCell ref="H43:I44"/>
    <mergeCell ref="J43:J44"/>
    <mergeCell ref="A45:B45"/>
    <mergeCell ref="D45:G45"/>
    <mergeCell ref="H45:I45"/>
    <mergeCell ref="A46:B46"/>
    <mergeCell ref="D46:G46"/>
    <mergeCell ref="H46:I46"/>
    <mergeCell ref="A47:B47"/>
    <mergeCell ref="D47:G47"/>
    <mergeCell ref="H47:I47"/>
    <mergeCell ref="A48:B48"/>
    <mergeCell ref="D48:G48"/>
    <mergeCell ref="H48:I48"/>
    <mergeCell ref="D49:G49"/>
    <mergeCell ref="H49:I49"/>
    <mergeCell ref="A50:K51"/>
    <mergeCell ref="A52:F54"/>
    <mergeCell ref="G52:G54"/>
    <mergeCell ref="H52:K52"/>
    <mergeCell ref="L52:L54"/>
    <mergeCell ref="A62:J62"/>
    <mergeCell ref="A63:K63"/>
    <mergeCell ref="C65:L65"/>
    <mergeCell ref="C66:L66"/>
    <mergeCell ref="G55:G56"/>
    <mergeCell ref="L55:L56"/>
    <mergeCell ref="D57:F57"/>
    <mergeCell ref="A59:K59"/>
    <mergeCell ref="A61:K61"/>
    <mergeCell ref="A55:A56"/>
    <mergeCell ref="B55:B56"/>
    <mergeCell ref="C55:C56"/>
    <mergeCell ref="D55:E56"/>
    <mergeCell ref="F55:F56"/>
  </mergeCells>
  <dataValidations count="1">
    <dataValidation allowBlank="1" showInputMessage="1" showErrorMessage="1" prompt="Clique duas vezes sobre o número do item para ser direcionado à Planilha Orçamentária." sqref="D18" xr:uid="{00000000-0002-0000-1C00-000000000000}">
      <formula1>0</formula1>
      <formula2>0</formula2>
    </dataValidation>
  </dataValidations>
  <printOptions horizontalCentered="1" verticalCentered="1"/>
  <pageMargins left="0.51180555555555496" right="0.51180555555555496" top="0.78749999999999998" bottom="0.78749999999999998" header="0.51180555555555496" footer="0.51180555555555496"/>
  <pageSetup paperSize="9" scale="72"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78"/>
  <sheetViews>
    <sheetView topLeftCell="A157" zoomScaleNormal="100" zoomScalePageLayoutView="60" workbookViewId="0">
      <selection activeCell="H178" sqref="H178"/>
    </sheetView>
  </sheetViews>
  <sheetFormatPr defaultRowHeight="15" x14ac:dyDescent="0.2"/>
  <cols>
    <col min="1" max="1" width="3.765625" style="364" customWidth="1"/>
    <col min="2" max="2" width="5.6484375" style="364" customWidth="1"/>
    <col min="3" max="3" width="17.75390625" style="364" customWidth="1"/>
    <col min="4" max="6" width="10.76171875" style="364" customWidth="1"/>
    <col min="7" max="7" width="12.23828125" style="364" customWidth="1"/>
    <col min="8" max="8" width="11.703125" style="364" customWidth="1"/>
    <col min="9" max="9" width="13.71875" style="364" customWidth="1"/>
    <col min="10" max="10" width="11.703125" style="364" customWidth="1"/>
    <col min="11" max="11" width="7.6640625" style="365" customWidth="1"/>
    <col min="12" max="12" width="12.5078125" style="364" customWidth="1"/>
    <col min="13" max="13" width="13.046875" style="364" customWidth="1"/>
    <col min="14" max="14" width="14.66015625" style="364" customWidth="1"/>
    <col min="15" max="1025" width="8.7421875" customWidth="1"/>
  </cols>
  <sheetData>
    <row r="1" spans="1:14" x14ac:dyDescent="0.2">
      <c r="A1" s="366"/>
      <c r="B1" s="367"/>
      <c r="C1" s="367"/>
      <c r="D1" s="368"/>
      <c r="E1" s="1376" t="str">
        <f>'PLANILHA DE CAMPO'!C2</f>
        <v>Prefeitura Municipal de Santarém Novo</v>
      </c>
      <c r="F1" s="1376"/>
      <c r="G1" s="1376"/>
      <c r="H1" s="1376"/>
      <c r="I1" s="1376"/>
      <c r="J1" s="1376"/>
      <c r="K1" s="1376"/>
      <c r="L1" s="1376"/>
      <c r="M1" s="1376"/>
      <c r="N1" s="1376"/>
    </row>
    <row r="2" spans="1:14" x14ac:dyDescent="0.2">
      <c r="A2" s="369"/>
      <c r="B2" s="370"/>
      <c r="C2" s="371"/>
      <c r="D2" s="372"/>
      <c r="E2" s="373"/>
      <c r="F2" s="374"/>
      <c r="G2" s="370"/>
      <c r="H2" s="370"/>
      <c r="I2" s="370"/>
      <c r="J2" s="370"/>
      <c r="K2" s="370"/>
      <c r="L2" s="375"/>
      <c r="M2" s="375"/>
      <c r="N2" s="376"/>
    </row>
    <row r="3" spans="1:14" x14ac:dyDescent="0.2">
      <c r="A3" s="369"/>
      <c r="B3" s="377"/>
      <c r="C3" s="377"/>
      <c r="D3" s="378"/>
      <c r="E3" s="1377" t="str">
        <f>'[1]Atualização de custos unitarios'!C4</f>
        <v>PROJETO BÁSICO DE ENGENHARIA</v>
      </c>
      <c r="F3" s="1377"/>
      <c r="G3" s="1377"/>
      <c r="H3" s="1377"/>
      <c r="I3" s="1377"/>
      <c r="J3" s="1377"/>
      <c r="K3" s="1377"/>
      <c r="L3" s="1377"/>
      <c r="M3" s="1377"/>
      <c r="N3" s="1377"/>
    </row>
    <row r="4" spans="1:14" x14ac:dyDescent="0.2">
      <c r="A4" s="369"/>
      <c r="B4" s="375"/>
      <c r="C4" s="375"/>
      <c r="D4" s="379"/>
      <c r="E4" s="380"/>
      <c r="F4" s="380"/>
      <c r="G4" s="380"/>
      <c r="H4" s="380"/>
      <c r="I4" s="380"/>
      <c r="J4" s="380"/>
      <c r="K4" s="380"/>
      <c r="L4" s="380"/>
      <c r="M4" s="380"/>
      <c r="N4" s="381"/>
    </row>
    <row r="5" spans="1:14" ht="20.25" x14ac:dyDescent="0.2">
      <c r="A5" s="369"/>
      <c r="B5" s="382"/>
      <c r="C5" s="382"/>
      <c r="D5" s="383"/>
      <c r="E5" s="1378" t="s">
        <v>161</v>
      </c>
      <c r="F5" s="1378"/>
      <c r="G5" s="1378"/>
      <c r="H5" s="1378"/>
      <c r="I5" s="1378"/>
      <c r="J5" s="1378"/>
      <c r="K5" s="1378"/>
      <c r="L5" s="1378"/>
      <c r="M5" s="1378"/>
      <c r="N5" s="1378"/>
    </row>
    <row r="6" spans="1:14" x14ac:dyDescent="0.2">
      <c r="A6" s="384"/>
      <c r="B6" s="385"/>
      <c r="C6" s="385"/>
      <c r="D6" s="386"/>
      <c r="E6" s="1379" t="str">
        <f>'[1]Informações de entrada'!C21</f>
        <v>RESEX CHOCOARÉ-MATOGROSSO</v>
      </c>
      <c r="F6" s="1379"/>
      <c r="G6" s="1379"/>
      <c r="H6" s="1379"/>
      <c r="I6" s="1379"/>
      <c r="J6" s="1379"/>
      <c r="K6" s="1379"/>
      <c r="L6" s="1379"/>
      <c r="M6" s="1379"/>
      <c r="N6" s="1379"/>
    </row>
    <row r="7" spans="1:14" x14ac:dyDescent="0.2">
      <c r="A7" s="387"/>
      <c r="B7" s="388"/>
      <c r="C7" s="388"/>
      <c r="D7" s="388"/>
      <c r="E7" s="388"/>
      <c r="F7" s="388"/>
      <c r="G7" s="388"/>
      <c r="H7" s="388"/>
      <c r="I7" s="388"/>
      <c r="J7" s="388"/>
      <c r="K7" s="388"/>
      <c r="L7" s="388"/>
      <c r="M7" s="388"/>
      <c r="N7" s="389"/>
    </row>
    <row r="8" spans="1:14" ht="15.75" customHeight="1" x14ac:dyDescent="0.2">
      <c r="A8" s="1373" t="s">
        <v>1</v>
      </c>
      <c r="B8" s="1373"/>
      <c r="C8" s="1373"/>
      <c r="D8" s="1373"/>
      <c r="E8" s="390" t="str">
        <f>'[1]Informações de entrada'!C11</f>
        <v>Construção / Recuperação e complementação de estradas vicinais</v>
      </c>
      <c r="F8" s="391"/>
      <c r="G8" s="391"/>
      <c r="H8" s="391"/>
      <c r="I8" s="391"/>
      <c r="J8" s="392"/>
      <c r="K8" s="392"/>
      <c r="L8" s="392"/>
      <c r="M8" s="392"/>
      <c r="N8" s="393"/>
    </row>
    <row r="9" spans="1:14" ht="15.75" customHeight="1" x14ac:dyDescent="0.2">
      <c r="A9" s="1373" t="s">
        <v>162</v>
      </c>
      <c r="B9" s="1373"/>
      <c r="C9" s="1373"/>
      <c r="D9" s="1373"/>
      <c r="E9" s="394" t="s">
        <v>789</v>
      </c>
      <c r="F9" s="395"/>
      <c r="G9" s="395"/>
      <c r="H9" s="395"/>
      <c r="I9" s="395"/>
      <c r="J9" s="395"/>
      <c r="K9" s="395"/>
      <c r="L9" s="395"/>
      <c r="M9" s="395"/>
      <c r="N9" s="396"/>
    </row>
    <row r="10" spans="1:14" x14ac:dyDescent="0.2">
      <c r="A10" s="1374" t="s">
        <v>163</v>
      </c>
      <c r="B10" s="1374"/>
      <c r="C10" s="1374"/>
      <c r="D10" s="1374"/>
      <c r="E10" s="397">
        <f>'[1]Informações de entrada'!C27</f>
        <v>44433</v>
      </c>
      <c r="F10" s="398"/>
      <c r="G10" s="399"/>
      <c r="H10" s="399"/>
      <c r="I10" s="399"/>
      <c r="J10" s="400"/>
      <c r="K10" s="400"/>
      <c r="L10" s="400"/>
      <c r="M10" s="400"/>
      <c r="N10" s="401"/>
    </row>
    <row r="11" spans="1:14" ht="12.75" customHeight="1" x14ac:dyDescent="0.2">
      <c r="A11" s="402"/>
      <c r="B11" s="403"/>
      <c r="C11" s="403"/>
      <c r="D11" s="403"/>
      <c r="E11" s="403"/>
      <c r="F11" s="403"/>
      <c r="G11" s="403"/>
      <c r="H11" s="403"/>
      <c r="I11" s="403"/>
      <c r="J11" s="403"/>
      <c r="K11" s="403"/>
      <c r="L11" s="403"/>
      <c r="M11" s="403"/>
      <c r="N11" s="404"/>
    </row>
    <row r="12" spans="1:14" ht="12.75" customHeight="1" x14ac:dyDescent="0.2">
      <c r="A12" s="405"/>
      <c r="B12" s="406"/>
      <c r="C12" s="406"/>
      <c r="D12" s="406"/>
      <c r="E12" s="406"/>
      <c r="F12" s="406"/>
      <c r="G12" s="406"/>
      <c r="H12" s="406"/>
      <c r="I12" s="406"/>
      <c r="J12" s="406"/>
      <c r="K12" s="406"/>
      <c r="L12" s="406"/>
      <c r="M12" s="406"/>
      <c r="N12" s="407"/>
    </row>
    <row r="13" spans="1:14" ht="46.5" customHeight="1" x14ac:dyDescent="0.2">
      <c r="A13" s="1375" t="s">
        <v>164</v>
      </c>
      <c r="B13" s="1375"/>
      <c r="C13" s="1375"/>
      <c r="D13" s="1375"/>
      <c r="E13" s="1375"/>
      <c r="F13" s="1375"/>
      <c r="G13" s="1375"/>
      <c r="H13" s="1375"/>
      <c r="I13" s="1375"/>
      <c r="J13" s="1375"/>
      <c r="K13" s="408" t="s">
        <v>165</v>
      </c>
      <c r="L13" s="408" t="s">
        <v>166</v>
      </c>
      <c r="M13" s="409" t="s">
        <v>167</v>
      </c>
      <c r="N13" s="408" t="s">
        <v>168</v>
      </c>
    </row>
    <row r="14" spans="1:14" ht="12.75" customHeight="1" x14ac:dyDescent="0.2">
      <c r="A14" s="410"/>
      <c r="B14" s="411"/>
      <c r="C14" s="412"/>
      <c r="D14" s="412"/>
      <c r="E14" s="413"/>
      <c r="F14" s="413"/>
      <c r="G14" s="412"/>
      <c r="H14" s="414"/>
      <c r="I14" s="414"/>
      <c r="J14" s="414"/>
      <c r="K14" s="414"/>
      <c r="L14" s="414"/>
      <c r="M14" s="414"/>
      <c r="N14" s="415"/>
    </row>
    <row r="15" spans="1:14" x14ac:dyDescent="0.2">
      <c r="A15" s="416" t="s">
        <v>169</v>
      </c>
      <c r="B15" s="417" t="s">
        <v>170</v>
      </c>
      <c r="C15" s="417"/>
      <c r="D15" s="417"/>
      <c r="E15" s="417"/>
      <c r="F15" s="417"/>
      <c r="G15" s="417"/>
      <c r="H15" s="417"/>
      <c r="I15" s="417"/>
      <c r="J15" s="417"/>
      <c r="K15" s="418"/>
      <c r="L15" s="419"/>
      <c r="M15" s="420"/>
      <c r="N15" s="421">
        <f>SUM(N16:N21)</f>
        <v>16994.5</v>
      </c>
    </row>
    <row r="16" spans="1:14" x14ac:dyDescent="0.2">
      <c r="A16" s="422"/>
      <c r="B16" s="423" t="str">
        <f>'[1]1.1-Mobil'!L7</f>
        <v>1.1</v>
      </c>
      <c r="C16" s="424" t="str">
        <f>'[1]1.1-Mobil'!E18</f>
        <v>Mobilização e desmobilização de pessoal, máquinas e equipamentos</v>
      </c>
      <c r="D16" s="424"/>
      <c r="E16" s="424"/>
      <c r="F16" s="424"/>
      <c r="G16" s="424"/>
      <c r="H16" s="424"/>
      <c r="I16" s="424"/>
      <c r="J16" s="424"/>
      <c r="K16" s="425" t="str">
        <f>'[1]1.1-Mobil'!L18</f>
        <v>un</v>
      </c>
      <c r="L16" s="426">
        <v>1</v>
      </c>
      <c r="M16" s="427">
        <f>'[1]1.1-Mobil'!L121</f>
        <v>5334.23</v>
      </c>
      <c r="N16" s="428">
        <f>ROUND(L16*M16,2)</f>
        <v>5334.23</v>
      </c>
    </row>
    <row r="17" spans="1:14" hidden="1" x14ac:dyDescent="0.2">
      <c r="A17" s="422"/>
      <c r="B17" s="429" t="str">
        <f>'[1]1.2-Exec.Canteiro'!L7</f>
        <v>1.2</v>
      </c>
      <c r="C17" s="424" t="str">
        <f>'[1]1.2-Exec.Canteiro'!E18</f>
        <v>Abrigo provisório de madeira executado na obra para alojamento e depósito de materiais e ferramentas</v>
      </c>
      <c r="D17" s="424"/>
      <c r="E17" s="424"/>
      <c r="F17" s="424"/>
      <c r="G17" s="424"/>
      <c r="H17" s="424"/>
      <c r="I17" s="424"/>
      <c r="J17" s="424"/>
      <c r="K17" s="430" t="str">
        <f>'[1]1.2-Exec.Canteiro'!L18</f>
        <v>m²</v>
      </c>
      <c r="L17" s="426">
        <v>0</v>
      </c>
      <c r="M17" s="431">
        <f>'[1]1.2-Exec.Canteiro'!L86</f>
        <v>546.58000000000004</v>
      </c>
      <c r="N17" s="432">
        <f>ROUND(L17*M17,2)</f>
        <v>0</v>
      </c>
    </row>
    <row r="18" spans="1:14" x14ac:dyDescent="0.2">
      <c r="A18" s="433"/>
      <c r="B18" s="429" t="s">
        <v>171</v>
      </c>
      <c r="C18" s="424" t="str">
        <f>'[1]1.3-Canteiro.Aloj'!E18</f>
        <v>Instalações de campo e alojamento.</v>
      </c>
      <c r="D18" s="424"/>
      <c r="E18" s="424"/>
      <c r="F18" s="424"/>
      <c r="G18" s="424"/>
      <c r="H18" s="424"/>
      <c r="I18" s="424"/>
      <c r="J18" s="424"/>
      <c r="K18" s="430" t="str">
        <f>'[1]1.3-Canteiro.Aloj'!L18</f>
        <v>mês</v>
      </c>
      <c r="L18" s="432">
        <f>IF(L17&gt;0,0,IF([1]Cronograma!$E$6&gt;0,[1]Cronograma!$E$6/30,0))</f>
        <v>4</v>
      </c>
      <c r="M18" s="431">
        <f>'[1]1.3-Canteiro.Aloj'!L63</f>
        <v>2273.02</v>
      </c>
      <c r="N18" s="432">
        <f>ROUND(L18*M18,2)</f>
        <v>9092.08</v>
      </c>
    </row>
    <row r="19" spans="1:14" x14ac:dyDescent="0.2">
      <c r="A19" s="433"/>
      <c r="B19" s="429" t="s">
        <v>172</v>
      </c>
      <c r="C19" s="424" t="str">
        <f>'[1]1.4-Placa.Obra'!E18</f>
        <v>Placa de obra em chapa de aço galvanizado, no tamanho de (2,00 m x 3,20 m)</v>
      </c>
      <c r="D19" s="434"/>
      <c r="E19" s="434"/>
      <c r="F19" s="434"/>
      <c r="G19" s="434"/>
      <c r="H19" s="434"/>
      <c r="I19" s="434"/>
      <c r="J19" s="435"/>
      <c r="K19" s="430" t="str">
        <f>'[1]1.4-Placa.Obra'!L18</f>
        <v>m²</v>
      </c>
      <c r="L19" s="426">
        <v>6.4</v>
      </c>
      <c r="M19" s="431">
        <f>'[1]1.4-Placa.Obra'!L70</f>
        <v>401.28</v>
      </c>
      <c r="N19" s="432">
        <f>ROUND(L19*M19,2)</f>
        <v>2568.19</v>
      </c>
    </row>
    <row r="20" spans="1:14" hidden="1" x14ac:dyDescent="0.2">
      <c r="A20" s="433"/>
      <c r="B20" s="429" t="str">
        <f>'[1]1.5-Comp.'!L7</f>
        <v>1.5</v>
      </c>
      <c r="C20" s="424">
        <f>'[1]1.5-Comp.'!E18</f>
        <v>0</v>
      </c>
      <c r="D20" s="434"/>
      <c r="E20" s="434"/>
      <c r="F20" s="434"/>
      <c r="G20" s="434"/>
      <c r="H20" s="434"/>
      <c r="I20" s="434"/>
      <c r="J20" s="435"/>
      <c r="K20" s="430">
        <f>'[1]1.5-Comp.'!L18</f>
        <v>0</v>
      </c>
      <c r="L20" s="426"/>
      <c r="M20" s="431">
        <f>'[1]1.5-Comp.'!L69</f>
        <v>0</v>
      </c>
      <c r="N20" s="432">
        <f>ROUND(L20*M20,2)</f>
        <v>0</v>
      </c>
    </row>
    <row r="21" spans="1:14" ht="12.75" customHeight="1" x14ac:dyDescent="0.2">
      <c r="A21" s="436"/>
      <c r="B21" s="437"/>
      <c r="C21" s="438"/>
      <c r="D21" s="438"/>
      <c r="E21" s="439"/>
      <c r="F21" s="439"/>
      <c r="G21" s="438"/>
      <c r="H21" s="440"/>
      <c r="I21" s="440"/>
      <c r="J21" s="440"/>
      <c r="K21" s="440"/>
      <c r="L21" s="440"/>
      <c r="M21" s="440"/>
      <c r="N21" s="441"/>
    </row>
    <row r="22" spans="1:14" x14ac:dyDescent="0.2">
      <c r="A22" s="416" t="s">
        <v>173</v>
      </c>
      <c r="B22" s="417" t="s">
        <v>174</v>
      </c>
      <c r="C22" s="417"/>
      <c r="D22" s="417"/>
      <c r="E22" s="417"/>
      <c r="F22" s="417"/>
      <c r="G22" s="417"/>
      <c r="H22" s="417"/>
      <c r="I22" s="417"/>
      <c r="J22" s="417"/>
      <c r="K22" s="418"/>
      <c r="L22" s="419"/>
      <c r="M22" s="420"/>
      <c r="N22" s="421">
        <f>SUM(N23:N37)</f>
        <v>60548.79</v>
      </c>
    </row>
    <row r="23" spans="1:14" ht="86.25" customHeight="1" x14ac:dyDescent="0.2">
      <c r="A23" s="433"/>
      <c r="B23" s="429" t="str">
        <f>'[1]2.1-Licenc.'!L7</f>
        <v>2.1</v>
      </c>
      <c r="C23" s="1351" t="str">
        <f>'[1]2.1-Licenc.'!E18</f>
        <v>Elaboração de estudos ambientais simplificados para complementação das estradas vicinais e uso de jazidas de materiais lateríticos e do Plano de Recuperação de Área Degradada - PRAD, objetivando a exploração de jazidas e sua posterior recuperação ambiental, elaborados por profissionais devidamente habilitados, com ART e apresentação do licenciamento ambiental necessário, expedido pelo órgão competente (Verificar a recomendação na observação e os índices das taxas dessa composição)</v>
      </c>
      <c r="D23" s="1351"/>
      <c r="E23" s="1351"/>
      <c r="F23" s="1351"/>
      <c r="G23" s="1351"/>
      <c r="H23" s="1351"/>
      <c r="I23" s="1351"/>
      <c r="J23" s="1351"/>
      <c r="K23" s="430" t="str">
        <f>'[1]2.1-Licenc.'!L18</f>
        <v>km</v>
      </c>
      <c r="L23" s="426">
        <v>12.15</v>
      </c>
      <c r="M23" s="442">
        <f>'[1]2.1-Licenc.'!L66</f>
        <v>557.01</v>
      </c>
      <c r="N23" s="432">
        <f t="shared" ref="N23:N36" si="0">ROUND(L23*M23,2)</f>
        <v>6767.67</v>
      </c>
    </row>
    <row r="24" spans="1:14" ht="102.75" customHeight="1" x14ac:dyDescent="0.2">
      <c r="A24" s="433"/>
      <c r="B24" s="429" t="str">
        <f>'[1]2.2-Proj Exec'!L7</f>
        <v>2.2</v>
      </c>
      <c r="C24" s="1351" t="str">
        <f>'[1]2.2-Proj Exec'!E18</f>
        <v>Elaboração de projeto de estradas vicinais (contemplando serviços de locação e levantamento do eixo da estrada, nivelamento do terreno natural, lançamento da linha de greide, perfil longitudinal, seções transversais, expedição de notas de serviços, locação de jazidas, cálculo de DMTs, drenagem, dimensionamento e locação das obras de arte corrente e serviços complementares, de modo a atender integralmente o disposto na Norma de Execução / Incra / DD / Nº 117, de 13 de setembro de 2017, em especial, ao seu Art. 13º) - Verificar a informação solicitada e os índices das taxas dessa composição</v>
      </c>
      <c r="D24" s="1351"/>
      <c r="E24" s="1351"/>
      <c r="F24" s="1351"/>
      <c r="G24" s="1351"/>
      <c r="H24" s="1351"/>
      <c r="I24" s="1351"/>
      <c r="J24" s="1351"/>
      <c r="K24" s="430" t="str">
        <f>'[1]2.2-Proj Exec'!L18</f>
        <v>km</v>
      </c>
      <c r="L24" s="426">
        <v>12.15</v>
      </c>
      <c r="M24" s="442">
        <f>'[1]2.2-Proj Exec'!L63</f>
        <v>4426.43</v>
      </c>
      <c r="N24" s="432">
        <f t="shared" si="0"/>
        <v>53781.120000000003</v>
      </c>
    </row>
    <row r="25" spans="1:14" ht="15" hidden="1" customHeight="1" x14ac:dyDescent="0.2">
      <c r="A25" s="443"/>
      <c r="B25" s="1362" t="str">
        <f>'[1]2.3-Proj Ponte CA'!L7</f>
        <v>2.3</v>
      </c>
      <c r="C25" s="1371" t="str">
        <f>'[1]2.3-Proj Ponte CA'!E18</f>
        <v>Elaboração de projeto estrutural de ponte em concreto armado (incluso o dimensionamento da fundação; não contempla a sondagem, a topografia e o estudo hidrológico). Verificar os índices das taxas dessa composição.</v>
      </c>
      <c r="D25" s="1371"/>
      <c r="E25" s="1371"/>
      <c r="F25" s="1371"/>
      <c r="G25" s="1371"/>
      <c r="H25" s="1372" t="s">
        <v>175</v>
      </c>
      <c r="I25" s="1372"/>
      <c r="J25" s="445">
        <v>10</v>
      </c>
      <c r="K25" s="430" t="str">
        <f>'[1]2.3-Proj Ponte CA'!L18</f>
        <v>m²</v>
      </c>
      <c r="L25" s="426">
        <v>0</v>
      </c>
      <c r="M25" s="431">
        <f>IF(J25&lt;=32,'[1]2.3-Proj Ponte CA'!H52,IF(J25&lt;=64,'[1]2.3-Proj Ponte CA'!H53-'[1]2.3-Proj Ponte CA'!F53*'[1]Planilha orçamentária'!J26,IF('[1]Planilha orçamentária'!J26&lt;=128,'[1]2.3-Proj Ponte CA'!H54-'[1]2.3-Proj Ponte CA'!F54*'[1]Planilha orçamentária'!J26,IF('[1]Planilha orçamentária'!J26&lt;=256,'[1]2.3-Proj Ponte CA'!H55-'[1]2.3-Proj Ponte CA'!F55*'[1]Planilha orçamentária'!J26,IF('[1]Planilha orçamentária'!J26&lt;512,'[1]2.3-Proj Ponte CA'!H56-'[1]2.3-Proj Ponte CA'!F56*'[1]Planilha orçamentária'!J26,IF('[1]Planilha orçamentária'!J26&lt;=1024,'[1]2.3-Proj Ponte CA'!H57-'[1]2.3-Proj Ponte CA'!F57*'[1]Planilha orçamentária'!J26,"ERRO"))))))</f>
        <v>38.238908681013498</v>
      </c>
      <c r="N25" s="432">
        <f t="shared" si="0"/>
        <v>0</v>
      </c>
    </row>
    <row r="26" spans="1:14" ht="15" hidden="1" customHeight="1" x14ac:dyDescent="0.2">
      <c r="A26" s="446"/>
      <c r="B26" s="1362"/>
      <c r="C26" s="1371"/>
      <c r="D26" s="1371"/>
      <c r="E26" s="1371"/>
      <c r="F26" s="1371"/>
      <c r="G26" s="1371"/>
      <c r="H26" s="1372" t="s">
        <v>176</v>
      </c>
      <c r="I26" s="1372"/>
      <c r="J26" s="445">
        <v>50</v>
      </c>
      <c r="K26" s="430" t="str">
        <f>'[1]2.3-Proj Ponte CA'!L18</f>
        <v>m²</v>
      </c>
      <c r="L26" s="426"/>
      <c r="M26" s="431">
        <f>IF(J26&lt;=32,'[1]2.3-Proj Ponte CA'!H52,IF(J26&lt;=64,'[1]2.3-Proj Ponte CA'!H53-'[1]2.3-Proj Ponte CA'!F53*'[1]Planilha orçamentária'!J27,IF('[1]Planilha orçamentária'!J27&lt;=128,'[1]2.3-Proj Ponte CA'!H54-'[1]2.3-Proj Ponte CA'!F54*'[1]Planilha orçamentária'!J27,IF('[1]Planilha orçamentária'!J27&lt;=256,'[1]2.3-Proj Ponte CA'!H55-'[1]2.3-Proj Ponte CA'!F55*'[1]Planilha orçamentária'!J27,IF('[1]Planilha orçamentária'!J27&lt;512,'[1]2.3-Proj Ponte CA'!H56-'[1]2.3-Proj Ponte CA'!F56*'[1]Planilha orçamentária'!J27,IF('[1]Planilha orçamentária'!J27&lt;=1024,'[1]2.3-Proj Ponte CA'!H57-'[1]2.3-Proj Ponte CA'!F57*'[1]Planilha orçamentária'!J27,"ERRO"))))))</f>
        <v>36.798908681013501</v>
      </c>
      <c r="N26" s="432">
        <f t="shared" si="0"/>
        <v>0</v>
      </c>
    </row>
    <row r="27" spans="1:14" ht="15" hidden="1" customHeight="1" x14ac:dyDescent="0.2">
      <c r="A27" s="446"/>
      <c r="B27" s="1362"/>
      <c r="C27" s="1371"/>
      <c r="D27" s="1371"/>
      <c r="E27" s="1371"/>
      <c r="F27" s="1371"/>
      <c r="G27" s="1371"/>
      <c r="H27" s="1372" t="s">
        <v>177</v>
      </c>
      <c r="I27" s="1372"/>
      <c r="J27" s="445">
        <v>200</v>
      </c>
      <c r="K27" s="430" t="str">
        <f>'[1]2.3-Proj Ponte CA'!L18</f>
        <v>m²</v>
      </c>
      <c r="L27" s="426"/>
      <c r="M27" s="431">
        <f>IF(J27&lt;=32,'[1]2.3-Proj Ponte CA'!H52,IF(J27&lt;=64,'[1]2.3-Proj Ponte CA'!H53-'[1]2.3-Proj Ponte CA'!F53*'[1]Planilha orçamentária'!J28,IF('[1]Planilha orçamentária'!J28&lt;=128,'[1]2.3-Proj Ponte CA'!H54-'[1]2.3-Proj Ponte CA'!F54*'[1]Planilha orçamentária'!J28,IF('[1]Planilha orçamentária'!J28&lt;=256,'[1]2.3-Proj Ponte CA'!H55-'[1]2.3-Proj Ponte CA'!F55*'[1]Planilha orçamentária'!J28,IF('[1]Planilha orçamentária'!J28&lt;512,'[1]2.3-Proj Ponte CA'!H56-'[1]2.3-Proj Ponte CA'!F56*'[1]Planilha orçamentária'!J28,IF('[1]Planilha orçamentária'!J28&lt;=1024,'[1]2.3-Proj Ponte CA'!H57-'[1]2.3-Proj Ponte CA'!F57*'[1]Planilha orçamentária'!J28,"ERRO"))))))</f>
        <v>32.182908681013501</v>
      </c>
      <c r="N27" s="432">
        <f t="shared" si="0"/>
        <v>0</v>
      </c>
    </row>
    <row r="28" spans="1:14" ht="15" hidden="1" customHeight="1" x14ac:dyDescent="0.2">
      <c r="A28" s="422"/>
      <c r="B28" s="1362"/>
      <c r="C28" s="1371"/>
      <c r="D28" s="1371"/>
      <c r="E28" s="1371"/>
      <c r="F28" s="1371"/>
      <c r="G28" s="1371"/>
      <c r="H28" s="1372" t="s">
        <v>178</v>
      </c>
      <c r="I28" s="1372"/>
      <c r="J28" s="445">
        <v>1000</v>
      </c>
      <c r="K28" s="430" t="str">
        <f>'[1]2.3-Proj Ponte CA'!L18</f>
        <v>m²</v>
      </c>
      <c r="L28" s="426"/>
      <c r="M28" s="431">
        <f>IF(J28&lt;=32,'[1]2.3-Proj Ponte CA'!H52,IF(J28&lt;=64,'[1]2.3-Proj Ponte CA'!H53-'[1]2.3-Proj Ponte CA'!F53*'[1]Planilha orçamentária'!J29,IF('[1]Planilha orçamentária'!J29&lt;=128,'[1]2.3-Proj Ponte CA'!H54-'[1]2.3-Proj Ponte CA'!F54*'[1]Planilha orçamentária'!J29,IF('[1]Planilha orçamentária'!J29&lt;=256,'[1]2.3-Proj Ponte CA'!H55-'[1]2.3-Proj Ponte CA'!F55*'[1]Planilha orçamentária'!J29,IF('[1]Planilha orçamentária'!J29&lt;512,'[1]2.3-Proj Ponte CA'!H56-'[1]2.3-Proj Ponte CA'!F56*'[1]Planilha orçamentária'!J29,IF('[1]Planilha orçamentária'!J29&lt;=1024,'[1]2.3-Proj Ponte CA'!H57-'[1]2.3-Proj Ponte CA'!F57*'[1]Planilha orçamentária'!J29,"ERRO"))))))</f>
        <v>27.454908681013499</v>
      </c>
      <c r="N28" s="432">
        <f t="shared" si="0"/>
        <v>0</v>
      </c>
    </row>
    <row r="29" spans="1:14" hidden="1" x14ac:dyDescent="0.2">
      <c r="A29" s="433"/>
      <c r="B29" s="429" t="str">
        <f>'[1]2.4-Sondagem 1ª cat'!L7</f>
        <v>2.4</v>
      </c>
      <c r="C29" s="444" t="str">
        <f>'[1]2.4-Sondagem 1ª cat'!E18</f>
        <v>Serviços geotécnicos (sondagem) em material de 1ª categoria</v>
      </c>
      <c r="D29" s="434"/>
      <c r="E29" s="434"/>
      <c r="F29" s="434"/>
      <c r="G29" s="434"/>
      <c r="H29" s="434"/>
      <c r="I29" s="434"/>
      <c r="J29" s="435"/>
      <c r="K29" s="430" t="str">
        <f>'[1]2.4-Sondagem 1ª cat'!L18</f>
        <v>m</v>
      </c>
      <c r="L29" s="426"/>
      <c r="M29" s="431">
        <f>'[1]2.4-Sondagem 1ª cat'!L69</f>
        <v>378.26</v>
      </c>
      <c r="N29" s="432">
        <f t="shared" si="0"/>
        <v>0</v>
      </c>
    </row>
    <row r="30" spans="1:14" hidden="1" x14ac:dyDescent="0.2">
      <c r="A30" s="433"/>
      <c r="B30" s="429" t="str">
        <f>'[1]2.5-Sondagem 2ª cat'!L7</f>
        <v>2.5</v>
      </c>
      <c r="C30" s="444" t="str">
        <f>'[1]2.5-Sondagem 2ª cat'!E18</f>
        <v>Serviços geotécnicos (sondagem) em material de 2ª categoria</v>
      </c>
      <c r="D30" s="434"/>
      <c r="E30" s="434"/>
      <c r="F30" s="434"/>
      <c r="G30" s="434"/>
      <c r="H30" s="434"/>
      <c r="I30" s="434"/>
      <c r="J30" s="435"/>
      <c r="K30" s="430" t="str">
        <f>'[1]2.5-Sondagem 2ª cat'!L18</f>
        <v>m</v>
      </c>
      <c r="L30" s="426"/>
      <c r="M30" s="431">
        <f>'[1]2.5-Sondagem 2ª cat'!L69</f>
        <v>586.37</v>
      </c>
      <c r="N30" s="432">
        <f t="shared" si="0"/>
        <v>0</v>
      </c>
    </row>
    <row r="31" spans="1:14" hidden="1" x14ac:dyDescent="0.2">
      <c r="A31" s="433"/>
      <c r="B31" s="429" t="str">
        <f>'[1]2.6-Sondagem 3ª cat'!L7</f>
        <v>2.6</v>
      </c>
      <c r="C31" s="447" t="str">
        <f>'[1]2.6-Sondagem 3ª cat'!E18</f>
        <v>Serviços geotécnicos (sondagem) em material de 3ª categoria</v>
      </c>
      <c r="D31" s="434"/>
      <c r="E31" s="434"/>
      <c r="F31" s="434"/>
      <c r="G31" s="434"/>
      <c r="H31" s="434"/>
      <c r="I31" s="434"/>
      <c r="J31" s="435"/>
      <c r="K31" s="430" t="str">
        <f>'[1]2.6-Sondagem 3ª cat'!L18</f>
        <v>m</v>
      </c>
      <c r="L31" s="426"/>
      <c r="M31" s="431">
        <f>'[1]2.6-Sondagem 3ª cat'!L69</f>
        <v>508.14</v>
      </c>
      <c r="N31" s="432">
        <f t="shared" si="0"/>
        <v>0</v>
      </c>
    </row>
    <row r="32" spans="1:14" hidden="1" x14ac:dyDescent="0.2">
      <c r="A32" s="433"/>
      <c r="B32" s="429" t="str">
        <f>'[1]2.7-Hidrologia Pontes'!L7</f>
        <v>2.7</v>
      </c>
      <c r="C32" s="447" t="str">
        <f>'[1]2.7-Hidrologia Pontes'!E18</f>
        <v>Hidrologia e projeto hidráulico de pontes. (Verificar os índices das taxas dessa composição).</v>
      </c>
      <c r="D32" s="434"/>
      <c r="E32" s="434"/>
      <c r="F32" s="434"/>
      <c r="G32" s="434"/>
      <c r="H32" s="434"/>
      <c r="I32" s="434"/>
      <c r="J32" s="435"/>
      <c r="K32" s="430" t="str">
        <f>'[1]2.7-Hidrologia Pontes'!L18</f>
        <v>un</v>
      </c>
      <c r="L32" s="426"/>
      <c r="M32" s="431">
        <f>'[1]2.7-Hidrologia Pontes'!L52</f>
        <v>6844.66</v>
      </c>
      <c r="N32" s="432">
        <f t="shared" si="0"/>
        <v>0</v>
      </c>
    </row>
    <row r="33" spans="1:14" hidden="1" x14ac:dyDescent="0.2">
      <c r="A33" s="433"/>
      <c r="B33" s="429" t="str">
        <f>'[1]2.8-Topografia Pontes'!L7</f>
        <v>2.8</v>
      </c>
      <c r="C33" s="447" t="str">
        <f>'[1]2.8-Topografia Pontes'!E18</f>
        <v>Levantamento topográfico para elaboração de projeto de ponte. (Verificar os índices das taxas dessa composição).</v>
      </c>
      <c r="D33" s="434"/>
      <c r="E33" s="434"/>
      <c r="F33" s="434"/>
      <c r="G33" s="434"/>
      <c r="H33" s="434"/>
      <c r="I33" s="434"/>
      <c r="J33" s="435"/>
      <c r="K33" s="430" t="str">
        <f>'[1]2.8-Topografia Pontes'!L18</f>
        <v>ha</v>
      </c>
      <c r="L33" s="426"/>
      <c r="M33" s="431">
        <f>'[1]2.8-Topografia Pontes'!L67</f>
        <v>2112.91</v>
      </c>
      <c r="N33" s="432">
        <f t="shared" si="0"/>
        <v>0</v>
      </c>
    </row>
    <row r="34" spans="1:14" hidden="1" x14ac:dyDescent="0.2">
      <c r="A34" s="433"/>
      <c r="B34" s="429" t="str">
        <f>'[1]2.9-Comp'!L7</f>
        <v>2.9</v>
      </c>
      <c r="C34" s="448">
        <f>'[1]2.9-Comp'!E18</f>
        <v>0</v>
      </c>
      <c r="D34" s="434"/>
      <c r="E34" s="434"/>
      <c r="F34" s="434"/>
      <c r="G34" s="434"/>
      <c r="H34" s="434"/>
      <c r="I34" s="434"/>
      <c r="J34" s="435"/>
      <c r="K34" s="449">
        <f>'[1]2.9-Comp'!L18</f>
        <v>0</v>
      </c>
      <c r="L34" s="426"/>
      <c r="M34" s="431">
        <f>'[1]2.9-Comp'!L69</f>
        <v>0</v>
      </c>
      <c r="N34" s="432">
        <f t="shared" si="0"/>
        <v>0</v>
      </c>
    </row>
    <row r="35" spans="1:14" hidden="1" x14ac:dyDescent="0.2">
      <c r="A35" s="433"/>
      <c r="B35" s="429" t="str">
        <f>'[1]2.10-Comp'!L7</f>
        <v>2.10</v>
      </c>
      <c r="C35" s="448">
        <f>'[1]2.10-Comp'!E18</f>
        <v>0</v>
      </c>
      <c r="D35" s="434"/>
      <c r="E35" s="434"/>
      <c r="F35" s="434"/>
      <c r="G35" s="434"/>
      <c r="H35" s="434"/>
      <c r="I35" s="434"/>
      <c r="J35" s="450"/>
      <c r="K35" s="449">
        <f>'[1]2.10-Comp'!L18</f>
        <v>0</v>
      </c>
      <c r="L35" s="426"/>
      <c r="M35" s="431">
        <f>'[1]2.10-Comp'!L69</f>
        <v>0</v>
      </c>
      <c r="N35" s="432">
        <f t="shared" si="0"/>
        <v>0</v>
      </c>
    </row>
    <row r="36" spans="1:14" hidden="1" x14ac:dyDescent="0.2">
      <c r="A36" s="433"/>
      <c r="B36" s="429" t="str">
        <f>'[1]2.11-Comp '!L7</f>
        <v>2.11</v>
      </c>
      <c r="C36" s="448">
        <f>'[1]2.11-Comp '!E18</f>
        <v>0</v>
      </c>
      <c r="D36" s="434"/>
      <c r="E36" s="434"/>
      <c r="F36" s="434"/>
      <c r="G36" s="434"/>
      <c r="H36" s="434"/>
      <c r="I36" s="434"/>
      <c r="J36" s="450"/>
      <c r="K36" s="449">
        <f>'[1]2.11-Comp '!L18</f>
        <v>0</v>
      </c>
      <c r="L36" s="426"/>
      <c r="M36" s="431">
        <f>'[1]2.11-Comp '!L69</f>
        <v>0</v>
      </c>
      <c r="N36" s="432">
        <f t="shared" si="0"/>
        <v>0</v>
      </c>
    </row>
    <row r="37" spans="1:14" ht="12.75" customHeight="1" x14ac:dyDescent="0.2">
      <c r="A37" s="436"/>
      <c r="B37" s="437"/>
      <c r="C37" s="438"/>
      <c r="D37" s="438"/>
      <c r="E37" s="439"/>
      <c r="F37" s="439"/>
      <c r="G37" s="438"/>
      <c r="H37" s="440"/>
      <c r="I37" s="440"/>
      <c r="J37" s="440"/>
      <c r="K37" s="440"/>
      <c r="L37" s="440"/>
      <c r="M37" s="440"/>
      <c r="N37" s="441"/>
    </row>
    <row r="38" spans="1:14" x14ac:dyDescent="0.2">
      <c r="A38" s="416" t="s">
        <v>179</v>
      </c>
      <c r="B38" s="417" t="s">
        <v>180</v>
      </c>
      <c r="C38" s="417"/>
      <c r="D38" s="417"/>
      <c r="E38" s="417"/>
      <c r="F38" s="417"/>
      <c r="G38" s="417"/>
      <c r="H38" s="417"/>
      <c r="I38" s="417"/>
      <c r="J38" s="417"/>
      <c r="K38" s="418"/>
      <c r="L38" s="419"/>
      <c r="M38" s="420"/>
      <c r="N38" s="421">
        <f>SUM(N39:N41)</f>
        <v>87152.12</v>
      </c>
    </row>
    <row r="39" spans="1:14" x14ac:dyDescent="0.2">
      <c r="A39" s="433"/>
      <c r="B39" s="429" t="str">
        <f>'[1]3.1-Adm. Local'!L7</f>
        <v>3.1</v>
      </c>
      <c r="C39" s="424" t="str">
        <f>'[1]3.1-Adm. Local'!E18</f>
        <v>Administração Local</v>
      </c>
      <c r="D39" s="424"/>
      <c r="E39" s="424"/>
      <c r="F39" s="424"/>
      <c r="G39" s="424"/>
      <c r="H39" s="424"/>
      <c r="I39" s="424"/>
      <c r="J39" s="424"/>
      <c r="K39" s="430" t="str">
        <f>'[1]3.1-Adm. Local'!L18</f>
        <v>mês</v>
      </c>
      <c r="L39" s="432">
        <f>IF([1]Cronograma!$E$6&gt;0,[1]Cronograma!$E$6/30,0)</f>
        <v>4</v>
      </c>
      <c r="M39" s="431">
        <f>'[1]3.1-Adm. Local'!L67</f>
        <v>21788.03</v>
      </c>
      <c r="N39" s="432">
        <f>ROUND(L39*M39,2)</f>
        <v>87152.12</v>
      </c>
    </row>
    <row r="40" spans="1:14" hidden="1" x14ac:dyDescent="0.2">
      <c r="A40" s="433"/>
      <c r="B40" s="429" t="str">
        <f>'[1]3.2-Comp.'!L7</f>
        <v>3.2</v>
      </c>
      <c r="C40" s="424">
        <f>'[1]3.2-Comp.'!E18</f>
        <v>0</v>
      </c>
      <c r="D40" s="424"/>
      <c r="E40" s="424"/>
      <c r="F40" s="424"/>
      <c r="G40" s="424"/>
      <c r="H40" s="424"/>
      <c r="I40" s="424"/>
      <c r="J40" s="424"/>
      <c r="K40" s="430">
        <f>'[1]3.2-Comp.'!L18</f>
        <v>0</v>
      </c>
      <c r="L40" s="426">
        <f>IF([1]Cronograma!$E$6&gt;0,[1]Cronograma!$E$6/30,0)</f>
        <v>4</v>
      </c>
      <c r="M40" s="431">
        <f>'[1]3.2-Comp.'!L69</f>
        <v>0</v>
      </c>
      <c r="N40" s="432">
        <f>ROUND(L40*M40,2)</f>
        <v>0</v>
      </c>
    </row>
    <row r="41" spans="1:14" ht="12.75" customHeight="1" x14ac:dyDescent="0.2">
      <c r="A41" s="446"/>
      <c r="B41" s="451"/>
      <c r="C41" s="452"/>
      <c r="D41" s="452"/>
      <c r="E41" s="452"/>
      <c r="F41" s="452"/>
      <c r="G41" s="452"/>
      <c r="H41" s="452"/>
      <c r="I41" s="452"/>
      <c r="J41" s="452"/>
      <c r="K41" s="453"/>
      <c r="L41" s="454"/>
      <c r="M41" s="455"/>
      <c r="N41" s="456"/>
    </row>
    <row r="42" spans="1:14" x14ac:dyDescent="0.2">
      <c r="A42" s="416" t="s">
        <v>181</v>
      </c>
      <c r="B42" s="417" t="s">
        <v>182</v>
      </c>
      <c r="C42" s="417"/>
      <c r="D42" s="417"/>
      <c r="E42" s="417"/>
      <c r="F42" s="417"/>
      <c r="G42" s="417"/>
      <c r="H42" s="417"/>
      <c r="I42" s="417"/>
      <c r="J42" s="457"/>
      <c r="K42" s="458"/>
      <c r="L42" s="458"/>
      <c r="M42" s="459"/>
      <c r="N42" s="460">
        <f>SUM(N43:N51)</f>
        <v>32076</v>
      </c>
    </row>
    <row r="43" spans="1:14" x14ac:dyDescent="0.2">
      <c r="A43" s="422"/>
      <c r="B43" s="423" t="str">
        <f>'[1]4.1-Desmat. e Limpeza'!L7</f>
        <v>4.1</v>
      </c>
      <c r="C43" s="424" t="str">
        <f>'[1]4.1-Desmat. e Limpeza'!E18</f>
        <v>Desmatamento e limpeza mecanizada de terreno com remoção de camada vegetal, utilizando trator esteiras</v>
      </c>
      <c r="D43" s="424"/>
      <c r="E43" s="424"/>
      <c r="F43" s="424"/>
      <c r="G43" s="424"/>
      <c r="H43" s="424"/>
      <c r="I43" s="424"/>
      <c r="J43" s="461"/>
      <c r="K43" s="425" t="str">
        <f>'[1]4.1-Desmat. e Limpeza'!L18</f>
        <v>m²</v>
      </c>
      <c r="L43" s="432">
        <f>ROUND('[1]Nota de serviço'!P28*1000*'[1]Nota de serviço'!E122,2)</f>
        <v>97200</v>
      </c>
      <c r="M43" s="462">
        <f>'[1]4.1-Desmat. e Limpeza'!L66</f>
        <v>0.2</v>
      </c>
      <c r="N43" s="428">
        <f t="shared" ref="N43:N50" si="1">ROUND(L43*M43,2)</f>
        <v>19440</v>
      </c>
    </row>
    <row r="44" spans="1:14" x14ac:dyDescent="0.2">
      <c r="A44" s="422"/>
      <c r="B44" s="423" t="str">
        <f>'[1]4.2-Desmat. 0.15'!L7</f>
        <v>4.2</v>
      </c>
      <c r="C44" s="424" t="str">
        <f>'[1]4.2-Desmat. 0.15'!E18</f>
        <v>Desmatamento,  destocamento e limpeza em áreas com árvores de diâmetro até 0,15 m</v>
      </c>
      <c r="D44" s="424"/>
      <c r="E44" s="424"/>
      <c r="F44" s="424"/>
      <c r="G44" s="424"/>
      <c r="H44" s="424"/>
      <c r="I44" s="424"/>
      <c r="J44" s="461"/>
      <c r="K44" s="425" t="str">
        <f>'[1]4.2-Desmat. 0.15'!L18</f>
        <v>m²</v>
      </c>
      <c r="L44" s="432">
        <f>ROUND('[1]Nota de serviço'!P28*1000*'[1]Nota de serviço'!E123,2)</f>
        <v>48600</v>
      </c>
      <c r="M44" s="462">
        <f>'[1]4.2-Desmat. 0.15'!L66</f>
        <v>0.26</v>
      </c>
      <c r="N44" s="428">
        <f t="shared" si="1"/>
        <v>12636</v>
      </c>
    </row>
    <row r="45" spans="1:14" hidden="1" x14ac:dyDescent="0.2">
      <c r="A45" s="433"/>
      <c r="B45" s="429" t="str">
        <f>'[1]4.3-Desmat.Maior 0.15'!L7</f>
        <v>4.3</v>
      </c>
      <c r="C45" s="434" t="str">
        <f>'[1]4.3-Desmat.Maior 0.15'!E18</f>
        <v>Desmatamento,  destocamento e limpeza em áreas com árvores de diâmetro maiores que 0,15 m</v>
      </c>
      <c r="D45" s="434"/>
      <c r="E45" s="434"/>
      <c r="F45" s="434"/>
      <c r="G45" s="434"/>
      <c r="H45" s="434"/>
      <c r="I45" s="434"/>
      <c r="J45" s="435"/>
      <c r="K45" s="430" t="str">
        <f>'[1]4.3-Desmat.Maior 0.15'!L18</f>
        <v>m²</v>
      </c>
      <c r="L45" s="432">
        <f>ROUND('[1]Nota de serviço'!P28*1000*'[1]Nota de serviço'!E124,2)</f>
        <v>0</v>
      </c>
      <c r="M45" s="463">
        <f>'[1]4.3-Desmat.Maior 0.15'!L66</f>
        <v>0.59</v>
      </c>
      <c r="N45" s="432">
        <f t="shared" si="1"/>
        <v>0</v>
      </c>
    </row>
    <row r="46" spans="1:14" hidden="1" x14ac:dyDescent="0.2">
      <c r="A46" s="433"/>
      <c r="B46" s="429" t="str">
        <f>'[1]4.4-Destoc. 0.15 a 0.30'!L7</f>
        <v>4.4</v>
      </c>
      <c r="C46" s="434" t="str">
        <f>'[1]4.4-Destoc. 0.15 a 0.30'!E18</f>
        <v>Destocamento de árvores com diâmetros entre 0,15 a 0,30 m</v>
      </c>
      <c r="D46" s="434"/>
      <c r="E46" s="434"/>
      <c r="F46" s="434"/>
      <c r="G46" s="434"/>
      <c r="H46" s="434"/>
      <c r="I46" s="434"/>
      <c r="J46" s="450"/>
      <c r="K46" s="430" t="str">
        <f>'[1]4.4-Destoc. 0.15 a 0.30'!L18</f>
        <v>un</v>
      </c>
      <c r="L46" s="426"/>
      <c r="M46" s="431">
        <f>'[1]4.4-Destoc. 0.15 a 0.30'!L66</f>
        <v>23.4</v>
      </c>
      <c r="N46" s="432">
        <f t="shared" si="1"/>
        <v>0</v>
      </c>
    </row>
    <row r="47" spans="1:14" hidden="1" x14ac:dyDescent="0.2">
      <c r="A47" s="433"/>
      <c r="B47" s="429" t="str">
        <f>'[1]4.5-Destoc.Maior 0.30'!L7</f>
        <v>4.5</v>
      </c>
      <c r="C47" s="434" t="str">
        <f>'[1]4.5-Destoc.Maior 0.30'!E18</f>
        <v>Destocamento de árvores com diâmetro superior a 0,30 m</v>
      </c>
      <c r="D47" s="434"/>
      <c r="E47" s="434"/>
      <c r="F47" s="434"/>
      <c r="G47" s="434"/>
      <c r="H47" s="434"/>
      <c r="I47" s="434"/>
      <c r="J47" s="450"/>
      <c r="K47" s="430" t="str">
        <f>'[1]4.5-Destoc.Maior 0.30'!L18</f>
        <v>un</v>
      </c>
      <c r="L47" s="426"/>
      <c r="M47" s="431">
        <f>'[1]4.5-Destoc.Maior 0.30'!L66</f>
        <v>75.02</v>
      </c>
      <c r="N47" s="432">
        <f t="shared" si="1"/>
        <v>0</v>
      </c>
    </row>
    <row r="48" spans="1:14" hidden="1" x14ac:dyDescent="0.2">
      <c r="A48" s="433"/>
      <c r="B48" s="429" t="str">
        <f>'[1]4.6-Comp'!L7</f>
        <v>4.6</v>
      </c>
      <c r="C48" s="464">
        <f>'[1]4.6-Comp'!E18</f>
        <v>0</v>
      </c>
      <c r="D48" s="434"/>
      <c r="E48" s="434"/>
      <c r="F48" s="434"/>
      <c r="G48" s="434"/>
      <c r="H48" s="434"/>
      <c r="I48" s="434"/>
      <c r="J48" s="465"/>
      <c r="K48" s="466"/>
      <c r="L48" s="426"/>
      <c r="M48" s="431">
        <f>'[1]4.6-Comp'!L69</f>
        <v>0</v>
      </c>
      <c r="N48" s="432">
        <f t="shared" si="1"/>
        <v>0</v>
      </c>
    </row>
    <row r="49" spans="1:14" hidden="1" x14ac:dyDescent="0.2">
      <c r="A49" s="433"/>
      <c r="B49" s="429" t="str">
        <f>'[1]4.7-Comp'!L7</f>
        <v>4.7</v>
      </c>
      <c r="C49" s="464">
        <f>'[1]4.7-Comp'!E18</f>
        <v>0</v>
      </c>
      <c r="D49" s="434"/>
      <c r="E49" s="434"/>
      <c r="F49" s="434"/>
      <c r="G49" s="434"/>
      <c r="H49" s="434"/>
      <c r="I49" s="434"/>
      <c r="J49" s="465"/>
      <c r="K49" s="466"/>
      <c r="L49" s="426"/>
      <c r="M49" s="431">
        <f>'[1]4.7-Comp'!L69</f>
        <v>0</v>
      </c>
      <c r="N49" s="432">
        <f t="shared" si="1"/>
        <v>0</v>
      </c>
    </row>
    <row r="50" spans="1:14" hidden="1" x14ac:dyDescent="0.2">
      <c r="A50" s="433"/>
      <c r="B50" s="429" t="str">
        <f>'[1]4.8-Comp'!L7</f>
        <v>4.8</v>
      </c>
      <c r="C50" s="464">
        <f>'[1]4.8-Comp'!E18</f>
        <v>0</v>
      </c>
      <c r="D50" s="434"/>
      <c r="E50" s="434"/>
      <c r="F50" s="434"/>
      <c r="G50" s="434"/>
      <c r="H50" s="434"/>
      <c r="I50" s="434"/>
      <c r="J50" s="465"/>
      <c r="K50" s="466"/>
      <c r="L50" s="426"/>
      <c r="M50" s="431">
        <f>'[1]4.8-Comp'!L69</f>
        <v>0</v>
      </c>
      <c r="N50" s="432">
        <f t="shared" si="1"/>
        <v>0</v>
      </c>
    </row>
    <row r="51" spans="1:14" ht="12.75" customHeight="1" x14ac:dyDescent="0.2">
      <c r="A51" s="446"/>
      <c r="B51" s="451"/>
      <c r="C51" s="452"/>
      <c r="D51" s="452"/>
      <c r="E51" s="452"/>
      <c r="F51" s="452"/>
      <c r="G51" s="452"/>
      <c r="H51" s="452"/>
      <c r="I51" s="452"/>
      <c r="J51" s="452"/>
      <c r="K51" s="453"/>
      <c r="L51" s="454"/>
      <c r="M51" s="455"/>
      <c r="N51" s="456"/>
    </row>
    <row r="52" spans="1:14" x14ac:dyDescent="0.2">
      <c r="A52" s="416" t="s">
        <v>183</v>
      </c>
      <c r="B52" s="417" t="s">
        <v>184</v>
      </c>
      <c r="C52" s="417"/>
      <c r="D52" s="417"/>
      <c r="E52" s="417"/>
      <c r="F52" s="417"/>
      <c r="G52" s="417"/>
      <c r="H52" s="417"/>
      <c r="I52" s="417"/>
      <c r="J52" s="467"/>
      <c r="K52" s="418"/>
      <c r="L52" s="418"/>
      <c r="M52" s="468"/>
      <c r="N52" s="421">
        <f>SUM(N53:N80)</f>
        <v>406342.11679999996</v>
      </c>
    </row>
    <row r="53" spans="1:14" x14ac:dyDescent="0.2">
      <c r="A53" s="422"/>
      <c r="B53" s="423" t="str">
        <f>'[1]5.1-ECT-50m'!L7</f>
        <v>5.1</v>
      </c>
      <c r="C53" s="424" t="str">
        <f>'[1]5.1-ECT-50m'!E18</f>
        <v>Escavação, carga e transporte de material  de 1ª categoria (DMT ≤ 50 m), inclusive seção padrão</v>
      </c>
      <c r="D53" s="424"/>
      <c r="E53" s="424"/>
      <c r="F53" s="424"/>
      <c r="G53" s="424"/>
      <c r="H53" s="424"/>
      <c r="I53" s="424"/>
      <c r="J53" s="469"/>
      <c r="K53" s="425" t="str">
        <f>'[1]5.1-ECT-50m'!L18</f>
        <v>m³</v>
      </c>
      <c r="L53" s="428">
        <f>ROUND('[1]Nota de serviço'!N111+'[1]Nota de serviço'!N112,2)</f>
        <v>7855.12</v>
      </c>
      <c r="M53" s="462">
        <f>'[1]5.1-ECT-50m'!L66</f>
        <v>1.64</v>
      </c>
      <c r="N53" s="428">
        <f>L53*M53</f>
        <v>12882.396799999999</v>
      </c>
    </row>
    <row r="54" spans="1:14" hidden="1" x14ac:dyDescent="0.2">
      <c r="A54" s="433"/>
      <c r="B54" s="429" t="str">
        <f>'[1]5.2-ECT-50-200m'!L7</f>
        <v>5.2</v>
      </c>
      <c r="C54" s="1351" t="str">
        <f>'[1]5.2-ECT-50-200m'!E18</f>
        <v>Escavação, carga e transporte de material de 1ª categoria - DMT de 50 a 200 m - caminho de serviço em leito natural - com escavadeira e caminhão basculante de 14 m³</v>
      </c>
      <c r="D54" s="1351"/>
      <c r="E54" s="1351"/>
      <c r="F54" s="1351"/>
      <c r="G54" s="1351"/>
      <c r="H54" s="1351"/>
      <c r="I54" s="1351"/>
      <c r="J54" s="1351"/>
      <c r="K54" s="430" t="str">
        <f>'[1]5.2-ECT-50-200m'!L18</f>
        <v>m³</v>
      </c>
      <c r="L54" s="428">
        <f>ROUND('[1]Nota de serviço'!N113,2)</f>
        <v>0</v>
      </c>
      <c r="M54" s="431">
        <f>'[1]5.2-ECT-50-200m'!L66</f>
        <v>6.02</v>
      </c>
      <c r="N54" s="432">
        <f t="shared" ref="N54:N63" si="2">ROUND(L54*M54,2)</f>
        <v>0</v>
      </c>
    </row>
    <row r="55" spans="1:14" ht="30" customHeight="1" x14ac:dyDescent="0.2">
      <c r="A55" s="433"/>
      <c r="B55" s="429" t="s">
        <v>185</v>
      </c>
      <c r="C55" s="1351" t="str">
        <f>'[1]5.3-ECT-200-400m'!E18</f>
        <v>Escavação, carga e transporte de material de 1ª categoria - DMT de 200 a 400 m - caminho de serviço em leito natural - com escavadeira e caminhão basculante de 14 m³</v>
      </c>
      <c r="D55" s="1351"/>
      <c r="E55" s="1351"/>
      <c r="F55" s="1351"/>
      <c r="G55" s="1351"/>
      <c r="H55" s="1351"/>
      <c r="I55" s="1351"/>
      <c r="J55" s="1351"/>
      <c r="K55" s="430" t="str">
        <f>'[1]5.3-ECT-200-400m'!L18</f>
        <v>m³</v>
      </c>
      <c r="L55" s="428">
        <f>ROUND('[1]Nota de serviço'!N114,2)</f>
        <v>30975</v>
      </c>
      <c r="M55" s="431">
        <f>'[1]5.3-ECT-200-400m'!L65</f>
        <v>6.91</v>
      </c>
      <c r="N55" s="432">
        <f t="shared" si="2"/>
        <v>214037.25</v>
      </c>
    </row>
    <row r="56" spans="1:14" hidden="1" x14ac:dyDescent="0.2">
      <c r="A56" s="433"/>
      <c r="B56" s="429" t="str">
        <f>'[1]5.4-ECT-400-600m'!L7</f>
        <v>5.4</v>
      </c>
      <c r="C56" s="1351" t="str">
        <f>'[1]5.4-ECT-400-600m'!E18</f>
        <v>Escavação, carga e transporte de material de 1ª categoria - DMT de 400 a 600 m - caminho de serviço em leito natural - com escavadeira e caminhão basculante de 14 m³</v>
      </c>
      <c r="D56" s="1351"/>
      <c r="E56" s="1351"/>
      <c r="F56" s="1351"/>
      <c r="G56" s="1351"/>
      <c r="H56" s="1351"/>
      <c r="I56" s="1351"/>
      <c r="J56" s="1351"/>
      <c r="K56" s="430" t="str">
        <f>'[1]5.4-ECT-400-600m'!L18</f>
        <v>m³</v>
      </c>
      <c r="L56" s="428">
        <f>ROUND('[1]Nota de serviço'!N115,2)</f>
        <v>0</v>
      </c>
      <c r="M56" s="431">
        <f>'[1]5.4-ECT-400-600m'!L66</f>
        <v>7.37</v>
      </c>
      <c r="N56" s="432">
        <f t="shared" si="2"/>
        <v>0</v>
      </c>
    </row>
    <row r="57" spans="1:14" hidden="1" x14ac:dyDescent="0.2">
      <c r="A57" s="433"/>
      <c r="B57" s="429" t="str">
        <f>'[1]5.5-ECT-600-800m'!L7</f>
        <v>5.5</v>
      </c>
      <c r="C57" s="1351" t="str">
        <f>'[1]5.5-ECT-600-800m'!E18</f>
        <v>Escavação, carga e transporte de material de 1ª categoria - DMT de 600 a 800 m - caminho de serviço em leito natural - com escavadeira e caminhão basculante de 14 m³</v>
      </c>
      <c r="D57" s="1351"/>
      <c r="E57" s="1351"/>
      <c r="F57" s="1351"/>
      <c r="G57" s="1351"/>
      <c r="H57" s="1351"/>
      <c r="I57" s="1351"/>
      <c r="J57" s="1351"/>
      <c r="K57" s="430" t="str">
        <f>'[1]5.5-ECT-600-800m'!L18</f>
        <v>m³</v>
      </c>
      <c r="L57" s="428">
        <f>ROUND('[1]Nota de serviço'!N116,2)</f>
        <v>0</v>
      </c>
      <c r="M57" s="431">
        <f>'[1]5.5-ECT-600-800m'!L66</f>
        <v>8.11</v>
      </c>
      <c r="N57" s="432">
        <f t="shared" si="2"/>
        <v>0</v>
      </c>
    </row>
    <row r="58" spans="1:14" hidden="1" x14ac:dyDescent="0.2">
      <c r="A58" s="433"/>
      <c r="B58" s="429" t="str">
        <f>'[1]5.6-ECT-800-1000m'!L7</f>
        <v>5.6</v>
      </c>
      <c r="C58" s="1351" t="str">
        <f>'[1]5.6-ECT-800-1000m'!E18</f>
        <v>Escavação, carga e transporte de material de 1ª categoria - DMT de 800 a 1.000 m - caminho de serviço em leito natural - com escavadeira e caminhão basculante de 14 m³</v>
      </c>
      <c r="D58" s="1351"/>
      <c r="E58" s="1351"/>
      <c r="F58" s="1351"/>
      <c r="G58" s="1351"/>
      <c r="H58" s="1351"/>
      <c r="I58" s="1351"/>
      <c r="J58" s="1351"/>
      <c r="K58" s="430" t="str">
        <f>'[1]5.6-ECT-800-1000m'!L18</f>
        <v>m³</v>
      </c>
      <c r="L58" s="428">
        <f>ROUND('[1]Nota de serviço'!N117,2)</f>
        <v>0</v>
      </c>
      <c r="M58" s="431">
        <f>'[1]5.6-ECT-800-1000m'!L66</f>
        <v>8.49</v>
      </c>
      <c r="N58" s="432">
        <f t="shared" si="2"/>
        <v>0</v>
      </c>
    </row>
    <row r="59" spans="1:14" hidden="1" x14ac:dyDescent="0.2">
      <c r="A59" s="433"/>
      <c r="B59" s="429" t="str">
        <f>'[1]5.7-Esc.Carga 2a'!L7</f>
        <v>5.7</v>
      </c>
      <c r="C59" s="434" t="str">
        <f>'[1]5.7-Esc.Carga 2a'!E18</f>
        <v>Escavação, carga e transporte de material  de 2ª categoria (DMT ≤ 50 m)</v>
      </c>
      <c r="D59" s="434"/>
      <c r="E59" s="434"/>
      <c r="F59" s="434"/>
      <c r="G59" s="434"/>
      <c r="H59" s="434"/>
      <c r="I59" s="434"/>
      <c r="J59" s="450"/>
      <c r="K59" s="430" t="str">
        <f>'[1]5.7-Esc.Carga 2a'!L18</f>
        <v>m³</v>
      </c>
      <c r="L59" s="428">
        <f>ROUND('[1]Nota de serviço'!N119,2)</f>
        <v>0</v>
      </c>
      <c r="M59" s="431">
        <f>'[1]5.7-Esc.Carga 2a'!L66</f>
        <v>4.3499999999999996</v>
      </c>
      <c r="N59" s="432">
        <f t="shared" si="2"/>
        <v>0</v>
      </c>
    </row>
    <row r="60" spans="1:14" hidden="1" x14ac:dyDescent="0.2">
      <c r="A60" s="433"/>
      <c r="B60" s="429" t="str">
        <f>'[1]5.8-Esc.Carga 2a 50-200'!L7</f>
        <v>5.8</v>
      </c>
      <c r="C60" s="1351" t="str">
        <f>'[1]5.8-Esc.Carga 2a 50-200'!E18</f>
        <v>Escavação, carga e transporte de material de 2ª categoria - DMT de 50 a 200 m - caminho de serviço em leito natural - com escavadeira e caminhão basculante de 14 m³</v>
      </c>
      <c r="D60" s="1351"/>
      <c r="E60" s="1351"/>
      <c r="F60" s="1351"/>
      <c r="G60" s="1351"/>
      <c r="H60" s="1351"/>
      <c r="I60" s="1351"/>
      <c r="J60" s="1351"/>
      <c r="K60" s="430" t="str">
        <f>'[1]5.8-Esc.Carga 2a 50-200'!L18</f>
        <v>m³</v>
      </c>
      <c r="L60" s="428">
        <f>ROUND('[1]Nota de serviço'!N120,2)</f>
        <v>0</v>
      </c>
      <c r="M60" s="431">
        <f>'[1]5.8-Esc.Carga 2a 50-200'!L66</f>
        <v>8.25</v>
      </c>
      <c r="N60" s="432">
        <f t="shared" si="2"/>
        <v>0</v>
      </c>
    </row>
    <row r="61" spans="1:14" hidden="1" x14ac:dyDescent="0.2">
      <c r="A61" s="433"/>
      <c r="B61" s="429" t="str">
        <f>'[1]5.9-Esc.Carga 3a'!L7</f>
        <v>5.9</v>
      </c>
      <c r="C61" s="434" t="str">
        <f>'[1]5.9-Esc.Carga 3a'!E18</f>
        <v>Escavação, carga e transporte de material de 3ª categoria - DMT de de 0 a 50 m (Expurgo)</v>
      </c>
      <c r="D61" s="434"/>
      <c r="E61" s="434"/>
      <c r="F61" s="434"/>
      <c r="G61" s="434"/>
      <c r="H61" s="434"/>
      <c r="I61" s="434"/>
      <c r="J61" s="450"/>
      <c r="K61" s="430" t="str">
        <f>'[1]5.9-Esc.Carga 3a'!L18</f>
        <v>m³</v>
      </c>
      <c r="L61" s="428">
        <f>ROUND('[1]Nota de serviço'!N122,2)</f>
        <v>0</v>
      </c>
      <c r="M61" s="431">
        <f>'[1]5.9-Esc.Carga 3a'!L72</f>
        <v>52.46</v>
      </c>
      <c r="N61" s="432">
        <f t="shared" si="2"/>
        <v>0</v>
      </c>
    </row>
    <row r="62" spans="1:14" hidden="1" x14ac:dyDescent="0.2">
      <c r="A62" s="433"/>
      <c r="B62" s="429" t="str">
        <f>'[1]5.10-Esc.Carga'!L7</f>
        <v>5.10</v>
      </c>
      <c r="C62" s="470" t="str">
        <f>'[1]5.10-Esc.Carga'!E18</f>
        <v>Escavação e carga de material de jazida com trator de 112 kW e carregadeira de 3,3 m³</v>
      </c>
      <c r="D62" s="434"/>
      <c r="E62" s="434"/>
      <c r="F62" s="434"/>
      <c r="G62" s="434"/>
      <c r="H62" s="434"/>
      <c r="I62" s="434"/>
      <c r="J62" s="450"/>
      <c r="K62" s="430" t="str">
        <f>'[1]5.10-Esc.Carga'!L18</f>
        <v>m³</v>
      </c>
      <c r="L62" s="428">
        <f>ROUND('[1]Nota de serviço'!N118,2)</f>
        <v>0</v>
      </c>
      <c r="M62" s="431">
        <f>'[1]5.10-Esc.Carga'!L66</f>
        <v>3.66</v>
      </c>
      <c r="N62" s="432">
        <f t="shared" si="2"/>
        <v>0</v>
      </c>
    </row>
    <row r="63" spans="1:14" hidden="1" x14ac:dyDescent="0.2">
      <c r="A63" s="443"/>
      <c r="B63" s="471" t="str">
        <f>'[1]5.11-Transp LN'!L7</f>
        <v>5.11</v>
      </c>
      <c r="C63" s="472" t="str">
        <f>'[1]5.11-Transp LN'!E18</f>
        <v>Transporte com caminhão basculante de 10 m³ - rodovia em leito natural</v>
      </c>
      <c r="D63" s="472"/>
      <c r="E63" s="472"/>
      <c r="F63" s="472"/>
      <c r="G63" s="472"/>
      <c r="H63" s="472"/>
      <c r="I63" s="473"/>
      <c r="J63" s="474" t="s">
        <v>186</v>
      </c>
      <c r="K63" s="1364" t="str">
        <f>'[1]5.11-Transp LN'!L18</f>
        <v>t * km</v>
      </c>
      <c r="L63" s="1367">
        <f>ROUND(L62*D64*G64*(1+J64),2)</f>
        <v>0</v>
      </c>
      <c r="M63" s="1368">
        <f>'[1]5.11-Transp LN'!L66</f>
        <v>1.02</v>
      </c>
      <c r="N63" s="1369">
        <f t="shared" si="2"/>
        <v>0</v>
      </c>
    </row>
    <row r="64" spans="1:14" hidden="1" x14ac:dyDescent="0.2">
      <c r="A64" s="422"/>
      <c r="B64" s="423"/>
      <c r="C64" s="475" t="s">
        <v>187</v>
      </c>
      <c r="D64" s="476">
        <v>1</v>
      </c>
      <c r="E64" s="477"/>
      <c r="F64" s="475" t="s">
        <v>188</v>
      </c>
      <c r="G64" s="476">
        <v>1.78</v>
      </c>
      <c r="H64" s="478"/>
      <c r="I64" s="475" t="s">
        <v>189</v>
      </c>
      <c r="J64" s="479">
        <v>0.25</v>
      </c>
      <c r="K64" s="1364"/>
      <c r="L64" s="1367"/>
      <c r="M64" s="1368"/>
      <c r="N64" s="1369"/>
    </row>
    <row r="65" spans="1:14" hidden="1" x14ac:dyDescent="0.2">
      <c r="A65" s="443"/>
      <c r="B65" s="471" t="str">
        <f>'[1]5.12-Transp RP'!L7</f>
        <v>5.12</v>
      </c>
      <c r="C65" s="472" t="str">
        <f>'[1]5.12-Transp RP'!E18</f>
        <v>Transporte com caminhão basculante de 10 m³ - rodovia com revestimento primário</v>
      </c>
      <c r="D65" s="472"/>
      <c r="E65" s="472"/>
      <c r="F65" s="472"/>
      <c r="G65" s="472"/>
      <c r="H65" s="472"/>
      <c r="I65" s="473"/>
      <c r="J65" s="474" t="s">
        <v>186</v>
      </c>
      <c r="K65" s="1364" t="str">
        <f>'[1]5.12-Transp RP'!L18</f>
        <v>t * km</v>
      </c>
      <c r="L65" s="1367">
        <f>ROUND(L62*D66*G66*(1+J66),2)</f>
        <v>0</v>
      </c>
      <c r="M65" s="1368">
        <f>'[1]5.12-Transp RP'!L66</f>
        <v>0.81</v>
      </c>
      <c r="N65" s="1369">
        <f>ROUND(L65*M65,2)</f>
        <v>0</v>
      </c>
    </row>
    <row r="66" spans="1:14" hidden="1" x14ac:dyDescent="0.2">
      <c r="A66" s="422"/>
      <c r="B66" s="423"/>
      <c r="C66" s="475" t="s">
        <v>187</v>
      </c>
      <c r="D66" s="476">
        <v>1</v>
      </c>
      <c r="E66" s="477"/>
      <c r="F66" s="475" t="s">
        <v>188</v>
      </c>
      <c r="G66" s="476">
        <v>1.78</v>
      </c>
      <c r="H66" s="478"/>
      <c r="I66" s="475" t="s">
        <v>189</v>
      </c>
      <c r="J66" s="479">
        <v>0.25</v>
      </c>
      <c r="K66" s="1364"/>
      <c r="L66" s="1367"/>
      <c r="M66" s="1368"/>
      <c r="N66" s="1369"/>
    </row>
    <row r="67" spans="1:14" ht="16.5" customHeight="1" x14ac:dyDescent="0.2">
      <c r="A67" s="433"/>
      <c r="B67" s="429" t="s">
        <v>190</v>
      </c>
      <c r="C67" s="470" t="str">
        <f>'[1]5.13-Cpct.Aterro'!E18</f>
        <v>Compactação de aterros a 95 % do proctor normal (inclusos o espalhamento e a conformação da plataforma)</v>
      </c>
      <c r="D67" s="480"/>
      <c r="E67" s="480"/>
      <c r="F67" s="480"/>
      <c r="G67" s="480"/>
      <c r="H67" s="480"/>
      <c r="I67" s="480"/>
      <c r="J67" s="481"/>
      <c r="K67" s="430" t="str">
        <f>'[1]5.13-Cpct.Aterro'!L18</f>
        <v>m³</v>
      </c>
      <c r="L67" s="482">
        <f>SUM(L53:L62)-L61</f>
        <v>38830.120000000003</v>
      </c>
      <c r="M67" s="431">
        <f>'[1]5.13-Cpct.Aterro'!L67</f>
        <v>4.04</v>
      </c>
      <c r="N67" s="432">
        <f t="shared" ref="N67:N77" si="3">ROUND(L67*M67,2)</f>
        <v>156873.68</v>
      </c>
    </row>
    <row r="68" spans="1:14" x14ac:dyDescent="0.2">
      <c r="A68" s="433"/>
      <c r="B68" s="429" t="s">
        <v>191</v>
      </c>
      <c r="C68" s="434" t="str">
        <f>'[1]5.14-Reconf.Plat.'!E18</f>
        <v>Reconformação da plataforma</v>
      </c>
      <c r="D68" s="434"/>
      <c r="E68" s="434"/>
      <c r="F68" s="434"/>
      <c r="G68" s="434"/>
      <c r="H68" s="434"/>
      <c r="I68" s="434"/>
      <c r="J68" s="450"/>
      <c r="K68" s="430" t="str">
        <f>'[1]5.14-Reconf.Plat.'!L18</f>
        <v>ha</v>
      </c>
      <c r="L68" s="482">
        <f>ROUND('[1]Nota de serviço'!P28*1000*'[1]Nota de serviço'!E128/10000,2)</f>
        <v>7.65</v>
      </c>
      <c r="M68" s="431">
        <f>'[1]5.14-Reconf.Plat.'!L66</f>
        <v>262.98</v>
      </c>
      <c r="N68" s="432">
        <f t="shared" si="3"/>
        <v>2011.8</v>
      </c>
    </row>
    <row r="69" spans="1:14" hidden="1" x14ac:dyDescent="0.2">
      <c r="A69" s="433"/>
      <c r="B69" s="429" t="str">
        <f>'[1]5.15-Esc.Mec.Vala'!L7</f>
        <v>5.15</v>
      </c>
      <c r="C69" s="434" t="str">
        <f>'[1]5.15-Esc.Mec.Vala'!E18</f>
        <v>Escavação mecânica de vala em material de 1ª categoria</v>
      </c>
      <c r="D69" s="434"/>
      <c r="E69" s="434"/>
      <c r="F69" s="434"/>
      <c r="G69" s="434"/>
      <c r="H69" s="434"/>
      <c r="I69" s="434"/>
      <c r="J69" s="450"/>
      <c r="K69" s="430" t="str">
        <f>'[1]5.15-Esc.Mec.Vala'!L18</f>
        <v>m³</v>
      </c>
      <c r="L69" s="426"/>
      <c r="M69" s="431">
        <f>'[1]5.15-Esc.Mec.Vala'!L66</f>
        <v>8.14</v>
      </c>
      <c r="N69" s="432">
        <f t="shared" si="3"/>
        <v>0</v>
      </c>
    </row>
    <row r="70" spans="1:14" x14ac:dyDescent="0.2">
      <c r="A70" s="433"/>
      <c r="B70" s="429" t="s">
        <v>192</v>
      </c>
      <c r="C70" s="434" t="str">
        <f>'[1]5.16-Bigodes'!E18</f>
        <v>Valetas e saídas laterais d´agua (bigodes - executadas com motoniveladora)</v>
      </c>
      <c r="D70" s="434"/>
      <c r="E70" s="434"/>
      <c r="F70" s="434"/>
      <c r="G70" s="434"/>
      <c r="H70" s="434"/>
      <c r="I70" s="434"/>
      <c r="J70" s="450"/>
      <c r="K70" s="430" t="str">
        <f>'[1]5.16-Bigodes'!L18</f>
        <v>m</v>
      </c>
      <c r="L70" s="432">
        <f>ROUND('[1]Nota de serviço'!P28*'[1]Nota de serviço'!E140,2)</f>
        <v>2430</v>
      </c>
      <c r="M70" s="431">
        <f>'[1]5.16-Bigodes'!L66</f>
        <v>1.05</v>
      </c>
      <c r="N70" s="432">
        <f t="shared" si="3"/>
        <v>2551.5</v>
      </c>
    </row>
    <row r="71" spans="1:14" hidden="1" x14ac:dyDescent="0.2">
      <c r="A71" s="433"/>
      <c r="B71" s="429" t="str">
        <f>'[1]5.17-Exp.Areia'!L7</f>
        <v>5.17</v>
      </c>
      <c r="C71" s="434" t="str">
        <f>'[1]5.17-Exp.Areia'!E18</f>
        <v>Escavação e carga de solos moles - sem transporte (expurgo de areia da pista)</v>
      </c>
      <c r="D71" s="434"/>
      <c r="E71" s="434"/>
      <c r="F71" s="434"/>
      <c r="G71" s="434"/>
      <c r="H71" s="434"/>
      <c r="I71" s="434"/>
      <c r="J71" s="450"/>
      <c r="K71" s="430" t="str">
        <f>'[1]5.17-Exp.Areia'!L18</f>
        <v>m³</v>
      </c>
      <c r="L71" s="426"/>
      <c r="M71" s="431">
        <f>'[1]5.17-Exp.Areia'!L66</f>
        <v>1.64</v>
      </c>
      <c r="N71" s="432">
        <f t="shared" si="3"/>
        <v>0</v>
      </c>
    </row>
    <row r="72" spans="1:14" x14ac:dyDescent="0.2">
      <c r="A72" s="433"/>
      <c r="B72" s="429" t="s">
        <v>193</v>
      </c>
      <c r="C72" s="434" t="str">
        <f>'[1]5.18-Exp.Jaz'!E18</f>
        <v>Expurgo de jazida - Limpeza e decapeamento</v>
      </c>
      <c r="D72" s="434"/>
      <c r="E72" s="434"/>
      <c r="F72" s="434"/>
      <c r="G72" s="434"/>
      <c r="H72" s="434"/>
      <c r="I72" s="483" t="s">
        <v>194</v>
      </c>
      <c r="J72" s="484">
        <v>0.2</v>
      </c>
      <c r="K72" s="430" t="str">
        <f>'[1]5.18-Exp.Jaz'!L18</f>
        <v>m³</v>
      </c>
      <c r="L72" s="432">
        <f>ROUND('[1]Plan. de campo'!E36*J72,2)</f>
        <v>2000</v>
      </c>
      <c r="M72" s="431">
        <f>'[1]5.18-Exp.Jaz'!L66</f>
        <v>2.77</v>
      </c>
      <c r="N72" s="432">
        <f t="shared" si="3"/>
        <v>5540</v>
      </c>
    </row>
    <row r="73" spans="1:14" hidden="1" x14ac:dyDescent="0.2">
      <c r="A73" s="433"/>
      <c r="B73" s="429" t="str">
        <f>'[1]5.19-Semead.Manual.Taludes'!L7</f>
        <v>5.19</v>
      </c>
      <c r="C73" s="434" t="str">
        <f>'[1]5.19-Semead.Manual.Taludes'!E18</f>
        <v>Semeadura manual em taludes (pó calcário, adubos NPK, orgânico, potássio, fósforo enxofre e sementes)</v>
      </c>
      <c r="D73" s="434"/>
      <c r="E73" s="434"/>
      <c r="F73" s="434"/>
      <c r="G73" s="434"/>
      <c r="H73" s="434"/>
      <c r="I73" s="434"/>
      <c r="J73" s="434"/>
      <c r="K73" s="430" t="str">
        <f>'[1]5.19-Semead.Manual.Taludes'!L18</f>
        <v>m²</v>
      </c>
      <c r="L73" s="426"/>
      <c r="M73" s="431">
        <f>'[1]5.19-Semead.Manual.Taludes'!L74</f>
        <v>1.52</v>
      </c>
      <c r="N73" s="432">
        <f t="shared" si="3"/>
        <v>0</v>
      </c>
    </row>
    <row r="74" spans="1:14" ht="15.75" customHeight="1" x14ac:dyDescent="0.2">
      <c r="A74" s="433"/>
      <c r="B74" s="429" t="s">
        <v>195</v>
      </c>
      <c r="C74" s="434" t="str">
        <f>'[1]5.20-Caixas.Retenção'!E18</f>
        <v>Caixas de retenção nas laterais da estrada para acúmulo de águas pluviais  (bacias de acumulação - micro bacias)</v>
      </c>
      <c r="D74" s="434"/>
      <c r="E74" s="434"/>
      <c r="F74" s="434"/>
      <c r="G74" s="434"/>
      <c r="H74" s="434"/>
      <c r="I74" s="434"/>
      <c r="J74" s="450"/>
      <c r="K74" s="430" t="str">
        <f>'[1]5.20-Caixas.Retenção'!L18</f>
        <v>un</v>
      </c>
      <c r="L74" s="432">
        <f>ROUND('[1]Nota de serviço'!P28*'[1]Nota de serviço'!L131,2)</f>
        <v>48.6</v>
      </c>
      <c r="M74" s="431">
        <f>'[1]5.20-Caixas.Retenção'!L58</f>
        <v>160.16999999999999</v>
      </c>
      <c r="N74" s="432">
        <f t="shared" si="3"/>
        <v>7784.26</v>
      </c>
    </row>
    <row r="75" spans="1:14" x14ac:dyDescent="0.2">
      <c r="A75" s="433"/>
      <c r="B75" s="429" t="s">
        <v>196</v>
      </c>
      <c r="C75" s="434" t="str">
        <f>'[1]5.21-Lombadas'!E18</f>
        <v>Lombadas em aterro compactado para redução de velocidade das águas pluviais</v>
      </c>
      <c r="D75" s="434"/>
      <c r="E75" s="434"/>
      <c r="F75" s="434"/>
      <c r="G75" s="434"/>
      <c r="H75" s="434"/>
      <c r="I75" s="434"/>
      <c r="J75" s="450"/>
      <c r="K75" s="430" t="str">
        <f>'[1]5.21-Lombadas'!L18</f>
        <v>un</v>
      </c>
      <c r="L75" s="432">
        <f>ROUND('[1]Nota de serviço'!P28*'[1]Nota de serviço'!L135,2)</f>
        <v>24.3</v>
      </c>
      <c r="M75" s="431">
        <f>'[1]5.21-Lombadas'!L58</f>
        <v>191.82</v>
      </c>
      <c r="N75" s="432">
        <f t="shared" si="3"/>
        <v>4661.2299999999996</v>
      </c>
    </row>
    <row r="76" spans="1:14" hidden="1" x14ac:dyDescent="0.2">
      <c r="A76" s="433"/>
      <c r="B76" s="429" t="str">
        <f>'[1]5.22-Comp'!L7</f>
        <v>5.22</v>
      </c>
      <c r="C76" s="464">
        <f>'[1]5.22-Comp'!E18</f>
        <v>0</v>
      </c>
      <c r="D76" s="434"/>
      <c r="E76" s="434"/>
      <c r="F76" s="434"/>
      <c r="G76" s="434"/>
      <c r="H76" s="434"/>
      <c r="I76" s="434"/>
      <c r="J76" s="450"/>
      <c r="K76" s="449">
        <f>'[1]5.22-Comp'!L18</f>
        <v>0</v>
      </c>
      <c r="L76" s="426"/>
      <c r="M76" s="431">
        <f>'[1]5.22-Comp'!L69</f>
        <v>0</v>
      </c>
      <c r="N76" s="432">
        <f t="shared" si="3"/>
        <v>0</v>
      </c>
    </row>
    <row r="77" spans="1:14" hidden="1" x14ac:dyDescent="0.2">
      <c r="A77" s="433"/>
      <c r="B77" s="429" t="str">
        <f>'[1]5.23-Comp'!L7</f>
        <v>5.23</v>
      </c>
      <c r="C77" s="464">
        <f>'[1]5.23-Comp'!E18</f>
        <v>0</v>
      </c>
      <c r="D77" s="434"/>
      <c r="E77" s="434"/>
      <c r="F77" s="434"/>
      <c r="G77" s="434"/>
      <c r="H77" s="434"/>
      <c r="I77" s="434"/>
      <c r="J77" s="450"/>
      <c r="K77" s="449">
        <f>'[1]5.23-Comp'!L18</f>
        <v>0</v>
      </c>
      <c r="L77" s="426"/>
      <c r="M77" s="431">
        <f>'[1]5.23-Comp'!L69</f>
        <v>0</v>
      </c>
      <c r="N77" s="432">
        <f t="shared" si="3"/>
        <v>0</v>
      </c>
    </row>
    <row r="78" spans="1:14" hidden="1" x14ac:dyDescent="0.2">
      <c r="A78" s="433"/>
      <c r="B78" s="429" t="str">
        <f>'[1]5.24-Comp'!L7</f>
        <v>5.24</v>
      </c>
      <c r="C78" s="464">
        <f>'[1]5.24-Comp'!E18</f>
        <v>0</v>
      </c>
      <c r="D78" s="434"/>
      <c r="E78" s="434"/>
      <c r="F78" s="434"/>
      <c r="G78" s="434"/>
      <c r="H78" s="434"/>
      <c r="I78" s="434"/>
      <c r="J78" s="450"/>
      <c r="K78" s="449">
        <f>'[1]5.24-Comp'!L18</f>
        <v>0</v>
      </c>
      <c r="L78" s="426"/>
      <c r="M78" s="431">
        <f>'[1]5.24-Comp'!L69</f>
        <v>0</v>
      </c>
      <c r="N78" s="432"/>
    </row>
    <row r="79" spans="1:14" hidden="1" x14ac:dyDescent="0.2">
      <c r="A79" s="433"/>
      <c r="B79" s="429" t="str">
        <f>'[1]5.25-Comp'!L7</f>
        <v>5.25</v>
      </c>
      <c r="C79" s="464">
        <f>'[1]5.25-Comp'!E18</f>
        <v>0</v>
      </c>
      <c r="D79" s="434"/>
      <c r="E79" s="434"/>
      <c r="F79" s="434"/>
      <c r="G79" s="434"/>
      <c r="H79" s="434"/>
      <c r="I79" s="434"/>
      <c r="J79" s="450"/>
      <c r="K79" s="449">
        <f>'[1]5.25-Comp'!L18</f>
        <v>0</v>
      </c>
      <c r="L79" s="426"/>
      <c r="M79" s="431">
        <f>'[1]5.25-Comp'!L69</f>
        <v>0</v>
      </c>
      <c r="N79" s="432"/>
    </row>
    <row r="80" spans="1:14" ht="12.75" customHeight="1" x14ac:dyDescent="0.2">
      <c r="A80" s="446"/>
      <c r="B80" s="451"/>
      <c r="C80" s="452"/>
      <c r="D80" s="452"/>
      <c r="E80" s="452"/>
      <c r="F80" s="452"/>
      <c r="G80" s="452"/>
      <c r="H80" s="452"/>
      <c r="I80" s="452"/>
      <c r="J80" s="452"/>
      <c r="K80" s="453"/>
      <c r="L80" s="454"/>
      <c r="M80" s="455"/>
      <c r="N80" s="456"/>
    </row>
    <row r="81" spans="1:14" x14ac:dyDescent="0.2">
      <c r="A81" s="485" t="s">
        <v>197</v>
      </c>
      <c r="B81" s="417" t="s">
        <v>198</v>
      </c>
      <c r="C81" s="417"/>
      <c r="D81" s="417"/>
      <c r="E81" s="417"/>
      <c r="F81" s="417"/>
      <c r="G81" s="417"/>
      <c r="H81" s="417"/>
      <c r="I81" s="417"/>
      <c r="J81" s="467"/>
      <c r="K81" s="418"/>
      <c r="L81" s="486"/>
      <c r="M81" s="468"/>
      <c r="N81" s="421">
        <f>SUM(N83:N124)</f>
        <v>144501.32</v>
      </c>
    </row>
    <row r="82" spans="1:14" x14ac:dyDescent="0.2">
      <c r="A82" s="487" t="s">
        <v>199</v>
      </c>
      <c r="B82" s="488"/>
      <c r="C82" s="488"/>
      <c r="D82" s="488"/>
      <c r="E82" s="488"/>
      <c r="F82" s="488"/>
      <c r="G82" s="488"/>
      <c r="H82" s="488"/>
      <c r="I82" s="488"/>
      <c r="J82" s="489"/>
      <c r="K82" s="1370" t="s">
        <v>200</v>
      </c>
      <c r="L82" s="1370"/>
      <c r="M82" s="1370"/>
      <c r="N82" s="1370"/>
    </row>
    <row r="83" spans="1:14" hidden="1" x14ac:dyDescent="0.2">
      <c r="A83" s="490"/>
      <c r="B83" s="423" t="str">
        <f>'[1]6.1-Cp.BSTC-40'!L7</f>
        <v>6.1</v>
      </c>
      <c r="C83" s="452" t="str">
        <f>'[1]6.1-Cp.BSTC-40'!E18</f>
        <v>Corpo de bueiro BSTC ø = 0,40 m, PA-1, com berço em concreto ciclópico</v>
      </c>
      <c r="D83" s="424"/>
      <c r="E83" s="424"/>
      <c r="F83" s="424"/>
      <c r="G83" s="424"/>
      <c r="H83" s="424"/>
      <c r="I83" s="424"/>
      <c r="J83" s="469"/>
      <c r="K83" s="425" t="str">
        <f>'[1]6.1-Cp.BSTC-40'!L18</f>
        <v>m</v>
      </c>
      <c r="L83" s="491">
        <f>ROUND('[1]Nota de serviço'!I107,2)</f>
        <v>0</v>
      </c>
      <c r="M83" s="462">
        <f>'[1]6.1-Cp.BSTC-40'!L63</f>
        <v>186.66</v>
      </c>
      <c r="N83" s="428">
        <f t="shared" ref="N83:N123" si="4">ROUND(L83*M83,2)</f>
        <v>0</v>
      </c>
    </row>
    <row r="84" spans="1:14" x14ac:dyDescent="0.2">
      <c r="A84" s="433"/>
      <c r="B84" s="429" t="s">
        <v>201</v>
      </c>
      <c r="C84" s="434" t="str">
        <f>'[1]6.2-Cp.BSTC-60'!E18</f>
        <v>Corpo de bueiro BSTC ø = 0,60 m, PA-1, com berço em concreto ciclópico</v>
      </c>
      <c r="D84" s="434"/>
      <c r="E84" s="434"/>
      <c r="F84" s="434"/>
      <c r="G84" s="434"/>
      <c r="H84" s="434"/>
      <c r="I84" s="434"/>
      <c r="J84" s="450"/>
      <c r="K84" s="430" t="str">
        <f>'[1]6.2-Cp.BSTC-60'!L18</f>
        <v>m</v>
      </c>
      <c r="L84" s="491">
        <f>ROUND('[1]Nota de serviço'!I108,2)</f>
        <v>33</v>
      </c>
      <c r="M84" s="431">
        <f>'[1]6.2-Cp.BSTC-60'!L63</f>
        <v>303.73</v>
      </c>
      <c r="N84" s="432">
        <f t="shared" si="4"/>
        <v>10023.09</v>
      </c>
    </row>
    <row r="85" spans="1:14" hidden="1" x14ac:dyDescent="0.2">
      <c r="A85" s="433"/>
      <c r="B85" s="429" t="str">
        <f>'[1]6.3-Cp.BSTC-80'!L7</f>
        <v>6.3</v>
      </c>
      <c r="C85" s="434" t="str">
        <f>'[1]6.3-Cp.BSTC-80'!E18</f>
        <v>Corpo de bueiro BSTC ø = 0,80 m, PA-1, com berço em concreto ciclópico</v>
      </c>
      <c r="D85" s="434"/>
      <c r="E85" s="434"/>
      <c r="F85" s="434"/>
      <c r="G85" s="434"/>
      <c r="H85" s="434"/>
      <c r="I85" s="434"/>
      <c r="J85" s="450"/>
      <c r="K85" s="430" t="str">
        <f>'[1]6.3-Cp.BSTC-80'!L18</f>
        <v>m</v>
      </c>
      <c r="L85" s="491">
        <f>ROUND('[1]Nota de serviço'!I109,2)</f>
        <v>0</v>
      </c>
      <c r="M85" s="431">
        <f>'[1]6.3-Cp.BSTC-80'!L63</f>
        <v>443.82</v>
      </c>
      <c r="N85" s="432">
        <f t="shared" si="4"/>
        <v>0</v>
      </c>
    </row>
    <row r="86" spans="1:14" x14ac:dyDescent="0.2">
      <c r="A86" s="433"/>
      <c r="B86" s="429" t="s">
        <v>202</v>
      </c>
      <c r="C86" s="434" t="str">
        <f>'[1]6.4-Cp.BSTC-100'!E18</f>
        <v>Corpo de bueiro BSTC ø = 1,00 m, PA-1, com berço em concreto ciclópico</v>
      </c>
      <c r="D86" s="434"/>
      <c r="E86" s="434"/>
      <c r="F86" s="434"/>
      <c r="G86" s="434"/>
      <c r="H86" s="434"/>
      <c r="I86" s="434"/>
      <c r="J86" s="450"/>
      <c r="K86" s="430" t="str">
        <f>'[1]6.4-Cp.BSTC-100'!L18</f>
        <v>m</v>
      </c>
      <c r="L86" s="491">
        <f>ROUND('[1]Nota de serviço'!I110,2)</f>
        <v>36</v>
      </c>
      <c r="M86" s="431">
        <f>'[1]6.4-Cp.BSTC-100'!L63</f>
        <v>567.75</v>
      </c>
      <c r="N86" s="432">
        <f t="shared" si="4"/>
        <v>20439</v>
      </c>
    </row>
    <row r="87" spans="1:14" hidden="1" x14ac:dyDescent="0.2">
      <c r="A87" s="433"/>
      <c r="B87" s="429" t="str">
        <f>'[1]6.5-Cp.BSTC-120'!L7</f>
        <v>6.5</v>
      </c>
      <c r="C87" s="434" t="str">
        <f>'[1]6.5-Cp.BSTC-120'!E18</f>
        <v>Corpo de bueiro BSTC ø = 1,20 m, PA-1, com berço em concreto ciclópico</v>
      </c>
      <c r="D87" s="434"/>
      <c r="E87" s="434"/>
      <c r="F87" s="434"/>
      <c r="G87" s="434"/>
      <c r="H87" s="434"/>
      <c r="I87" s="434"/>
      <c r="J87" s="450"/>
      <c r="K87" s="430" t="str">
        <f>'[1]6.5-Cp.BSTC-120'!L18</f>
        <v>m</v>
      </c>
      <c r="L87" s="491">
        <f>ROUND('[1]Nota de serviço'!I111,2)</f>
        <v>0</v>
      </c>
      <c r="M87" s="431">
        <f>'[1]6.5-Cp.BSTC-120'!L63</f>
        <v>893.09</v>
      </c>
      <c r="N87" s="432">
        <f t="shared" si="4"/>
        <v>0</v>
      </c>
    </row>
    <row r="88" spans="1:14" hidden="1" x14ac:dyDescent="0.2">
      <c r="A88" s="433"/>
      <c r="B88" s="429" t="str">
        <f>'[1]6.6-Cp.BSTC-150'!L7</f>
        <v>6.6</v>
      </c>
      <c r="C88" s="434" t="str">
        <f>'[1]6.6-Cp.BSTC-150'!E18</f>
        <v>Corpo de bueiro BSTC ø = 1,50 m, PA-1, com berço em concreto ciclópico</v>
      </c>
      <c r="D88" s="434"/>
      <c r="E88" s="434"/>
      <c r="F88" s="434"/>
      <c r="G88" s="434"/>
      <c r="H88" s="434"/>
      <c r="I88" s="434"/>
      <c r="J88" s="450"/>
      <c r="K88" s="430" t="str">
        <f>'[1]6.6-Cp.BSTC-150'!L18</f>
        <v>m</v>
      </c>
      <c r="L88" s="491">
        <f>ROUND('[1]Nota de serviço'!I112,2)</f>
        <v>0</v>
      </c>
      <c r="M88" s="431">
        <f>'[1]6.6-Cp.BSTC-150'!L63</f>
        <v>1536.07</v>
      </c>
      <c r="N88" s="432">
        <f t="shared" si="4"/>
        <v>0</v>
      </c>
    </row>
    <row r="89" spans="1:14" hidden="1" x14ac:dyDescent="0.2">
      <c r="A89" s="433"/>
      <c r="B89" s="429" t="str">
        <f>'[1]6.7-Cp.BDTC-40'!L7</f>
        <v>6.7</v>
      </c>
      <c r="C89" s="424" t="str">
        <f>'[1]6.7-Cp.BDTC-40'!E18</f>
        <v>Corpo de bueiro BDTC ø = 0,40 m, PA-1, com berço em concreto ciclópico</v>
      </c>
      <c r="D89" s="434"/>
      <c r="E89" s="434"/>
      <c r="F89" s="434"/>
      <c r="G89" s="434"/>
      <c r="H89" s="434"/>
      <c r="I89" s="434"/>
      <c r="J89" s="450"/>
      <c r="K89" s="430" t="str">
        <f>'[1]6.7-Cp.BDTC-40'!L18</f>
        <v>m</v>
      </c>
      <c r="L89" s="491">
        <f>ROUND('[1]Nota de serviço'!I113,2)</f>
        <v>0</v>
      </c>
      <c r="M89" s="431">
        <f>'[1]6.7-Cp.BDTC-40'!L63</f>
        <v>353.76</v>
      </c>
      <c r="N89" s="432">
        <f t="shared" si="4"/>
        <v>0</v>
      </c>
    </row>
    <row r="90" spans="1:14" hidden="1" x14ac:dyDescent="0.2">
      <c r="A90" s="492"/>
      <c r="B90" s="429" t="str">
        <f>'[1]6.8-Cp.BDTC-60'!L7</f>
        <v>6.8</v>
      </c>
      <c r="C90" s="424" t="str">
        <f>'[1]6.8-Cp.BDTC-60'!E18</f>
        <v>Corpo de bueiro BDTC ø = 0,60 m, PA-1, com berço em concreto ciclópico</v>
      </c>
      <c r="D90" s="434"/>
      <c r="E90" s="434"/>
      <c r="F90" s="434"/>
      <c r="G90" s="434"/>
      <c r="H90" s="434"/>
      <c r="I90" s="434"/>
      <c r="J90" s="450"/>
      <c r="K90" s="430" t="str">
        <f>'[1]6.8-Cp.BDTC-60'!L18</f>
        <v>m</v>
      </c>
      <c r="L90" s="491">
        <f>ROUND('[1]Nota de serviço'!I114,2)</f>
        <v>0</v>
      </c>
      <c r="M90" s="431">
        <f>'[1]6.8-Cp.BDTC-60'!L63</f>
        <v>568.38</v>
      </c>
      <c r="N90" s="432">
        <f t="shared" si="4"/>
        <v>0</v>
      </c>
    </row>
    <row r="91" spans="1:14" hidden="1" x14ac:dyDescent="0.2">
      <c r="A91" s="433"/>
      <c r="B91" s="429" t="str">
        <f>'[1]6.9-Cp.BDTC-80'!L7</f>
        <v>6.9</v>
      </c>
      <c r="C91" s="424" t="str">
        <f>'[1]6.9-Cp.BDTC-80'!E18</f>
        <v>Corpo de bueiro BDTC ø = 0,80 m, PA-1, com berço em concreto ciclópico</v>
      </c>
      <c r="D91" s="434"/>
      <c r="E91" s="434"/>
      <c r="F91" s="434"/>
      <c r="G91" s="434"/>
      <c r="H91" s="434"/>
      <c r="I91" s="434"/>
      <c r="J91" s="450"/>
      <c r="K91" s="430" t="str">
        <f>'[1]6.9-Cp.BDTC-80'!L18</f>
        <v>m</v>
      </c>
      <c r="L91" s="491">
        <f>ROUND('[1]Nota de serviço'!I115,2)</f>
        <v>0</v>
      </c>
      <c r="M91" s="431">
        <f>'[1]6.9-Cp.BDTC-80'!L63</f>
        <v>858.3</v>
      </c>
      <c r="N91" s="432">
        <f t="shared" si="4"/>
        <v>0</v>
      </c>
    </row>
    <row r="92" spans="1:14" x14ac:dyDescent="0.2">
      <c r="A92" s="433"/>
      <c r="B92" s="429" t="s">
        <v>203</v>
      </c>
      <c r="C92" s="424" t="str">
        <f>'[1]6.10-Cp.BDTC-100'!E18</f>
        <v>Corpo de bueiro BDTC ø = 1,00 m, PA-1, com berço em concreto ciclópico</v>
      </c>
      <c r="D92" s="434"/>
      <c r="E92" s="434"/>
      <c r="F92" s="434"/>
      <c r="G92" s="434"/>
      <c r="H92" s="434"/>
      <c r="I92" s="434"/>
      <c r="J92" s="450"/>
      <c r="K92" s="430" t="str">
        <f>'[1]6.10-Cp.BDTC-100'!L18</f>
        <v>m</v>
      </c>
      <c r="L92" s="491">
        <f>ROUND('[1]Nota de serviço'!I116,2)</f>
        <v>63</v>
      </c>
      <c r="M92" s="431">
        <f>'[1]6.10-Cp.BDTC-100'!L63</f>
        <v>1106.17</v>
      </c>
      <c r="N92" s="432">
        <f t="shared" si="4"/>
        <v>69688.710000000006</v>
      </c>
    </row>
    <row r="93" spans="1:14" hidden="1" x14ac:dyDescent="0.2">
      <c r="A93" s="433"/>
      <c r="B93" s="429" t="str">
        <f>'[1]6.11-Cp.BDTC-120'!L7</f>
        <v>6.11</v>
      </c>
      <c r="C93" s="424" t="str">
        <f>'[1]6.11-Cp.BDTC-120'!E18</f>
        <v>Corpo de bueiro BDTC ø = 1,20 m, PA-1, com berço em concreto ciclópico</v>
      </c>
      <c r="D93" s="434"/>
      <c r="E93" s="434"/>
      <c r="F93" s="434"/>
      <c r="G93" s="434"/>
      <c r="H93" s="434"/>
      <c r="I93" s="434"/>
      <c r="J93" s="450"/>
      <c r="K93" s="430" t="str">
        <f>'[1]6.11-Cp.BDTC-120'!L18</f>
        <v>m</v>
      </c>
      <c r="L93" s="491">
        <f>ROUND('[1]Nota de serviço'!I117,2)</f>
        <v>0</v>
      </c>
      <c r="M93" s="431">
        <f>'[1]6.11-Cp.BDTC-120'!L63</f>
        <v>1747.05</v>
      </c>
      <c r="N93" s="432">
        <f t="shared" si="4"/>
        <v>0</v>
      </c>
    </row>
    <row r="94" spans="1:14" hidden="1" x14ac:dyDescent="0.2">
      <c r="A94" s="433"/>
      <c r="B94" s="429" t="str">
        <f>'[1]6.12-Cp.BDTC-150'!L7</f>
        <v>6.12</v>
      </c>
      <c r="C94" s="424" t="str">
        <f>'[1]6.12-Cp.BDTC-150'!E18</f>
        <v>Corpo de bueiro BDTC ø = 1,50 m, PA-1, com berço em concreto ciclópico</v>
      </c>
      <c r="D94" s="434"/>
      <c r="E94" s="434"/>
      <c r="F94" s="434"/>
      <c r="G94" s="434"/>
      <c r="H94" s="434"/>
      <c r="I94" s="434"/>
      <c r="J94" s="450"/>
      <c r="K94" s="430" t="str">
        <f>'[1]6.12-Cp.BDTC-150'!L18</f>
        <v>m</v>
      </c>
      <c r="L94" s="491">
        <f>ROUND('[1]Nota de serviço'!I118,2)</f>
        <v>0</v>
      </c>
      <c r="M94" s="431">
        <f>'[1]6.12-Cp.BDTC-150'!L63</f>
        <v>3032.9</v>
      </c>
      <c r="N94" s="432">
        <f t="shared" si="4"/>
        <v>0</v>
      </c>
    </row>
    <row r="95" spans="1:14" hidden="1" x14ac:dyDescent="0.2">
      <c r="A95" s="433"/>
      <c r="B95" s="429" t="str">
        <f>'[1]6.13-Cp.BTTC-40'!L7</f>
        <v>6.13</v>
      </c>
      <c r="C95" s="434" t="str">
        <f>'[1]6.13-Cp.BTTC-40'!E18</f>
        <v>Corpo de bueiro BTTC ø = 0,40 m, PA-1, com berço em concreto ciclópico</v>
      </c>
      <c r="D95" s="434"/>
      <c r="E95" s="434"/>
      <c r="F95" s="434"/>
      <c r="G95" s="434"/>
      <c r="H95" s="434"/>
      <c r="I95" s="434"/>
      <c r="J95" s="450"/>
      <c r="K95" s="430" t="str">
        <f>'[1]6.13-Cp.BTTC-40'!L18</f>
        <v>m</v>
      </c>
      <c r="L95" s="491">
        <f>ROUND('[1]Nota de serviço'!I119,2)</f>
        <v>0</v>
      </c>
      <c r="M95" s="431">
        <f>'[1]6.13-Cp.BTTC-40'!L63</f>
        <v>520.86</v>
      </c>
      <c r="N95" s="432">
        <f t="shared" si="4"/>
        <v>0</v>
      </c>
    </row>
    <row r="96" spans="1:14" hidden="1" x14ac:dyDescent="0.2">
      <c r="A96" s="492"/>
      <c r="B96" s="429" t="str">
        <f>'[1]6.14-Cp.BTTC-60'!L7</f>
        <v>6.14</v>
      </c>
      <c r="C96" s="434" t="str">
        <f>'[1]6.14-Cp.BTTC-60'!E18</f>
        <v>Corpo de bueiro BTTC ø = 0,60 m, PA-1,com berço em concreto ciclópico</v>
      </c>
      <c r="D96" s="434"/>
      <c r="E96" s="434"/>
      <c r="F96" s="434"/>
      <c r="G96" s="434"/>
      <c r="H96" s="434"/>
      <c r="I96" s="434"/>
      <c r="J96" s="450"/>
      <c r="K96" s="430" t="str">
        <f>'[1]6.14-Cp.BTTC-60'!L18</f>
        <v>m</v>
      </c>
      <c r="L96" s="491">
        <f>ROUND('[1]Nota de serviço'!I120,2)</f>
        <v>0</v>
      </c>
      <c r="M96" s="431">
        <f>'[1]6.14-Cp.BTTC-60'!L63</f>
        <v>832.99</v>
      </c>
      <c r="N96" s="432">
        <f t="shared" si="4"/>
        <v>0</v>
      </c>
    </row>
    <row r="97" spans="1:14" hidden="1" x14ac:dyDescent="0.2">
      <c r="A97" s="433"/>
      <c r="B97" s="429" t="str">
        <f>'[1]6.15-Cp.BTTC-80'!L7</f>
        <v>6.15</v>
      </c>
      <c r="C97" s="434" t="str">
        <f>'[1]6.15-Cp.BTTC-80'!E18</f>
        <v>Corpo de bueiro BTTC ø = 0,80 m, PA-1, com berço em concreto ciclópico</v>
      </c>
      <c r="D97" s="434"/>
      <c r="E97" s="434"/>
      <c r="F97" s="434"/>
      <c r="G97" s="434"/>
      <c r="H97" s="434"/>
      <c r="I97" s="434"/>
      <c r="J97" s="450"/>
      <c r="K97" s="430" t="str">
        <f>'[1]6.15-Cp.BTTC-80'!L18</f>
        <v>m</v>
      </c>
      <c r="L97" s="491">
        <f>ROUND('[1]Nota de serviço'!I121,2)</f>
        <v>0</v>
      </c>
      <c r="M97" s="431">
        <f>'[1]6.15-Cp.BTTC-80'!L63</f>
        <v>1272.79</v>
      </c>
      <c r="N97" s="432">
        <f t="shared" si="4"/>
        <v>0</v>
      </c>
    </row>
    <row r="98" spans="1:14" hidden="1" x14ac:dyDescent="0.2">
      <c r="A98" s="433"/>
      <c r="B98" s="429" t="str">
        <f>'[1]6.16-Cp.BTTC-100'!L7</f>
        <v>6.16</v>
      </c>
      <c r="C98" s="434" t="str">
        <f>'[1]6.16-Cp.BTTC-100'!E18</f>
        <v>Corpo de bueiro BTTC ø = 1,00 m, PA-1, com berço em concreto ciclópico</v>
      </c>
      <c r="D98" s="434"/>
      <c r="E98" s="434"/>
      <c r="F98" s="434"/>
      <c r="G98" s="434"/>
      <c r="H98" s="434"/>
      <c r="I98" s="434"/>
      <c r="J98" s="450"/>
      <c r="K98" s="430" t="str">
        <f>'[1]6.16-Cp.BTTC-100'!L18</f>
        <v>m</v>
      </c>
      <c r="L98" s="491">
        <f>ROUND('[1]Nota de serviço'!I122,2)</f>
        <v>0</v>
      </c>
      <c r="M98" s="431">
        <f>'[1]6.16-Cp.BTTC-100'!L63</f>
        <v>1644.68</v>
      </c>
      <c r="N98" s="432">
        <f t="shared" si="4"/>
        <v>0</v>
      </c>
    </row>
    <row r="99" spans="1:14" hidden="1" x14ac:dyDescent="0.2">
      <c r="A99" s="433"/>
      <c r="B99" s="429" t="str">
        <f>'[1]6.17-Cp.BTTC-120'!L7</f>
        <v>6.17</v>
      </c>
      <c r="C99" s="434" t="str">
        <f>'[1]6.17-Cp.BTTC-120'!E18</f>
        <v>Corpo de bueiro BTTC ø = 1,20 m, PA-1, com berço em concreto ciclópico</v>
      </c>
      <c r="D99" s="434"/>
      <c r="E99" s="434"/>
      <c r="F99" s="434"/>
      <c r="G99" s="434"/>
      <c r="H99" s="434"/>
      <c r="I99" s="434"/>
      <c r="J99" s="450"/>
      <c r="K99" s="430" t="str">
        <f>'[1]6.17-Cp.BTTC-120'!L18</f>
        <v>m</v>
      </c>
      <c r="L99" s="491">
        <f>ROUND('[1]Nota de serviço'!I123,2)</f>
        <v>0</v>
      </c>
      <c r="M99" s="431">
        <f>'[1]6.17-Cp.BTTC-120'!L63</f>
        <v>2601.02</v>
      </c>
      <c r="N99" s="432">
        <f t="shared" si="4"/>
        <v>0</v>
      </c>
    </row>
    <row r="100" spans="1:14" hidden="1" x14ac:dyDescent="0.2">
      <c r="A100" s="433"/>
      <c r="B100" s="429" t="str">
        <f>'[1]6.18-Cp.BTTC-150'!L7</f>
        <v>6.18</v>
      </c>
      <c r="C100" s="434" t="str">
        <f>'[1]6.18-Cp.BTTC-150'!E18</f>
        <v>Corpo de bueiro BTTC ø = 1,50 m, PA-1, com berço em concreto ciclópico</v>
      </c>
      <c r="D100" s="434"/>
      <c r="E100" s="434"/>
      <c r="F100" s="434"/>
      <c r="G100" s="434"/>
      <c r="H100" s="434"/>
      <c r="I100" s="434"/>
      <c r="J100" s="465"/>
      <c r="K100" s="430" t="str">
        <f>'[1]6.18-Cp.BTTC-150'!L18</f>
        <v>m</v>
      </c>
      <c r="L100" s="491">
        <f>ROUND('[1]Nota de serviço'!I124,2)</f>
        <v>0</v>
      </c>
      <c r="M100" s="431">
        <f>'[1]6.18-Cp.BTTC-150'!L63</f>
        <v>4530.3100000000004</v>
      </c>
      <c r="N100" s="432">
        <f t="shared" si="4"/>
        <v>0</v>
      </c>
    </row>
    <row r="101" spans="1:14" hidden="1" x14ac:dyDescent="0.2">
      <c r="A101" s="433"/>
      <c r="B101" s="429" t="str">
        <f>IF($K$82="concreto ciclópico",'[1]6.19-Bca.BSTC-40'!$L$7,'[1]6.19-Bca.Ped.BSTC-40'!$L$7)</f>
        <v>6.19</v>
      </c>
      <c r="C101" s="434" t="str">
        <f>IF($K$82="concreto ciclópico",'[1]6.19-Bca.BSTC-40'!$E$18,'[1]6.19-Bca.Ped.BSTC-40'!$E$18)</f>
        <v>Boca de BSTC ø = 0,40 m, em concreto ciclópico, alas retas - esconsidade 0°</v>
      </c>
      <c r="D101" s="434"/>
      <c r="E101" s="434"/>
      <c r="F101" s="434"/>
      <c r="G101" s="434"/>
      <c r="H101" s="434"/>
      <c r="I101" s="493" t="s">
        <v>204</v>
      </c>
      <c r="J101" s="494" t="s">
        <v>205</v>
      </c>
      <c r="K101" s="430" t="s">
        <v>206</v>
      </c>
      <c r="L101" s="482">
        <f>ROUND('[1]Nota de serviço'!J107,2)</f>
        <v>0</v>
      </c>
      <c r="M101" s="431">
        <f>IF($K$82="concreto ciclópico",'[1]6.19-Bca.BSTC-40'!L63,'[1]6.19-Bca.Ped.BSTC-40'!L63)</f>
        <v>398.09</v>
      </c>
      <c r="N101" s="432">
        <f t="shared" si="4"/>
        <v>0</v>
      </c>
    </row>
    <row r="102" spans="1:14" x14ac:dyDescent="0.2">
      <c r="A102" s="433"/>
      <c r="B102" s="429" t="s">
        <v>207</v>
      </c>
      <c r="C102" s="434" t="str">
        <f>IF($K$82="concreto ciclópico",'[1]6.20-Bca.BSTC-60'!$E$18,'[1]6.20-Bca.Ped.BSTC-60'!$E$18)</f>
        <v>Boca de BSTC ø = 0,60 m, em concreto ciclópico, alas retas - esconsidade 0°</v>
      </c>
      <c r="D102" s="434"/>
      <c r="E102" s="434"/>
      <c r="F102" s="434"/>
      <c r="G102" s="495"/>
      <c r="H102" s="434"/>
      <c r="I102" s="496" t="s">
        <v>204</v>
      </c>
      <c r="J102" s="497" t="s">
        <v>205</v>
      </c>
      <c r="K102" s="430" t="s">
        <v>206</v>
      </c>
      <c r="L102" s="482">
        <f>ROUND('[1]Nota de serviço'!J108,2)</f>
        <v>8</v>
      </c>
      <c r="M102" s="431">
        <f>IF($K$82="concreto ciclópico",'[1]6.20-Bca.BSTC-60'!L63,'[1]6.20-Bca.Ped.BSTC-60'!L63)</f>
        <v>589.15</v>
      </c>
      <c r="N102" s="432">
        <f t="shared" si="4"/>
        <v>4713.2</v>
      </c>
    </row>
    <row r="103" spans="1:14" hidden="1" x14ac:dyDescent="0.2">
      <c r="A103" s="433"/>
      <c r="B103" s="429" t="str">
        <f>IF($K$82="concreto ciclópico",'[1]6.21-Bca.BSTC-80'!$L$7,'[1]6.21-Bca.Ped.BSTC-80'!$L$7)</f>
        <v>6.21</v>
      </c>
      <c r="C103" s="434" t="str">
        <f>IF($K$82="concreto ciclópico",'[1]6.21-Bca.BSTC-80'!$E$18,'[1]6.21-Bca.Ped.BSTC-80'!$E$18)</f>
        <v>Boca de BSTC ø = 0,80 m, em concreto ciclópico, alas retas - esconsidade 0°</v>
      </c>
      <c r="D103" s="434"/>
      <c r="E103" s="434"/>
      <c r="F103" s="434"/>
      <c r="G103" s="495"/>
      <c r="H103" s="434"/>
      <c r="I103" s="496" t="s">
        <v>204</v>
      </c>
      <c r="J103" s="497" t="s">
        <v>205</v>
      </c>
      <c r="K103" s="430" t="s">
        <v>206</v>
      </c>
      <c r="L103" s="482">
        <f>ROUND('[1]Nota de serviço'!J109,2)</f>
        <v>0</v>
      </c>
      <c r="M103" s="431">
        <f>IF($K$82="concreto ciclópico",'[1]6.21-Bca.BSTC-80'!L63,'[1]6.21-Bca.Ped.BSTC-80'!L63)</f>
        <v>1116.01</v>
      </c>
      <c r="N103" s="432">
        <f t="shared" si="4"/>
        <v>0</v>
      </c>
    </row>
    <row r="104" spans="1:14" x14ac:dyDescent="0.2">
      <c r="A104" s="433"/>
      <c r="B104" s="444" t="s">
        <v>208</v>
      </c>
      <c r="C104" s="434" t="str">
        <f>IF($K$82="concreto ciclópico",'[1]6.22-Bca.BSTC-100'!$E$18,'[1]6.22-Bca.Ped.BSTC-100'!$E$18)</f>
        <v>Boca de BSTC ø = 1,00 m, em concreto ciclópico, alas retas - esconsidade 0°</v>
      </c>
      <c r="D104" s="434"/>
      <c r="E104" s="434"/>
      <c r="F104" s="434"/>
      <c r="G104" s="495"/>
      <c r="H104" s="434"/>
      <c r="I104" s="496" t="s">
        <v>204</v>
      </c>
      <c r="J104" s="497" t="s">
        <v>205</v>
      </c>
      <c r="K104" s="430" t="s">
        <v>206</v>
      </c>
      <c r="L104" s="482">
        <f>ROUND('[1]Nota de serviço'!J110,2)</f>
        <v>8</v>
      </c>
      <c r="M104" s="431">
        <f>IF($K$82="concreto ciclópico",'[1]6.22-Bca.BSTC-100'!L63,'[1]6.22-Bca.Ped.BSTC-100'!L63)</f>
        <v>1474.09</v>
      </c>
      <c r="N104" s="432">
        <f t="shared" si="4"/>
        <v>11792.72</v>
      </c>
    </row>
    <row r="105" spans="1:14" hidden="1" x14ac:dyDescent="0.2">
      <c r="A105" s="433"/>
      <c r="B105" s="429" t="str">
        <f>IF($K$82="concreto ciclópico",'[1]6.23-Bca.BSTC-120'!$L$7,'[1]6.23-Bca.Ped.BSTC-120'!$L$7)</f>
        <v>6.23</v>
      </c>
      <c r="C105" s="434" t="str">
        <f>IF($K$82="concreto ciclópico",'[1]6.23-Bca.BSTC-120'!$E$18,'[1]6.23-Bca.Ped.BSTC-120'!$E$18)</f>
        <v>Boca de BSTC ø = 1,20 m, em concreto ciclópico, alas retas - esconsidade 0°</v>
      </c>
      <c r="D105" s="434"/>
      <c r="E105" s="434"/>
      <c r="F105" s="434"/>
      <c r="G105" s="495"/>
      <c r="H105" s="434"/>
      <c r="I105" s="496" t="s">
        <v>204</v>
      </c>
      <c r="J105" s="497" t="s">
        <v>205</v>
      </c>
      <c r="K105" s="430" t="s">
        <v>206</v>
      </c>
      <c r="L105" s="482">
        <f>ROUND('[1]Nota de serviço'!J111,2)</f>
        <v>0</v>
      </c>
      <c r="M105" s="431">
        <f>IF($K$82="concreto ciclópico",'[1]6.23-Bca.BSTC-120'!L63,'[1]6.23-Bca.Ped.BSTC-120'!L63)</f>
        <v>1960.12</v>
      </c>
      <c r="N105" s="432">
        <f t="shared" si="4"/>
        <v>0</v>
      </c>
    </row>
    <row r="106" spans="1:14" hidden="1" x14ac:dyDescent="0.2">
      <c r="A106" s="433"/>
      <c r="B106" s="429" t="str">
        <f>IF($K$82="concreto ciclópico",'[1]6.24-Bca.BSTC-150'!$L$7,'[1]6.24-Bca.Ped.BSTC-150'!$L$7)</f>
        <v>6.24</v>
      </c>
      <c r="C106" s="434" t="str">
        <f>IF($K$82="concreto ciclópico",'[1]6.24-Bca.BSTC-150'!$E$18,'[1]6.24-Bca.Ped.BSTC-150'!$E$18)</f>
        <v>Boca de BSTC ø = 1,50 m, em concreto ciclópico, alas retas - esconsidade 0°</v>
      </c>
      <c r="D106" s="434"/>
      <c r="E106" s="434"/>
      <c r="F106" s="434"/>
      <c r="G106" s="495"/>
      <c r="H106" s="434"/>
      <c r="I106" s="496" t="s">
        <v>204</v>
      </c>
      <c r="J106" s="497" t="s">
        <v>205</v>
      </c>
      <c r="K106" s="430" t="s">
        <v>206</v>
      </c>
      <c r="L106" s="482">
        <f>ROUND('[1]Nota de serviço'!J112,2)</f>
        <v>0</v>
      </c>
      <c r="M106" s="431">
        <f>IF($K$82="concreto ciclópico",'[1]6.24-Bca.BSTC-150'!L63,'[1]6.24-Bca.Ped.BSTC-150'!L63)</f>
        <v>3266.64</v>
      </c>
      <c r="N106" s="432">
        <f t="shared" si="4"/>
        <v>0</v>
      </c>
    </row>
    <row r="107" spans="1:14" hidden="1" x14ac:dyDescent="0.2">
      <c r="A107" s="433"/>
      <c r="B107" s="429" t="str">
        <f>IF($K$82="concreto ciclópico",'[1]6.25-Bca.BDTC-40'!$L$7,'[1]6.25-Bca.Ped.BDTC-40'!$L$7)</f>
        <v>6.25</v>
      </c>
      <c r="C107" s="434" t="str">
        <f>IF($K$82="concreto ciclópico",'[1]6.25-Bca.BDTC-40'!$E$18,'[1]6.25-Bca.Ped.BDTC-40'!$E$18)</f>
        <v>Boca de BDTC ø = 0,40 m, em concreto ciclópico, alas retas - esconsidade 0°</v>
      </c>
      <c r="D107" s="434"/>
      <c r="E107" s="434"/>
      <c r="F107" s="434"/>
      <c r="G107" s="495"/>
      <c r="H107" s="434"/>
      <c r="I107" s="496" t="s">
        <v>204</v>
      </c>
      <c r="J107" s="497" t="s">
        <v>205</v>
      </c>
      <c r="K107" s="430" t="s">
        <v>206</v>
      </c>
      <c r="L107" s="482">
        <f>ROUND('[1]Nota de serviço'!J113,2)</f>
        <v>0</v>
      </c>
      <c r="M107" s="431">
        <f>IF($K$82="concreto ciclópico",'[1]6.25-Bca.BDTC-40'!L63,'[1]6.25-Bca.Ped.BDTC-40'!L63)</f>
        <v>549.47</v>
      </c>
      <c r="N107" s="432">
        <f t="shared" si="4"/>
        <v>0</v>
      </c>
    </row>
    <row r="108" spans="1:14" hidden="1" x14ac:dyDescent="0.2">
      <c r="A108" s="433"/>
      <c r="B108" s="429" t="str">
        <f>IF($K$82="concreto ciclópico",'[1]6.26-Bca.BDTC-60'!$L$7,'[1]6.26-Bca.Ped.BDTC-60'!$L$7)</f>
        <v>6.26</v>
      </c>
      <c r="C108" s="434" t="str">
        <f>IF($K$82="concreto ciclópico",'[1]6.26-Bca.BDTC-60'!$E$18,'[1]6.26-Bca.Ped.BDTC-60'!$E$18)</f>
        <v>Boca de BDTC ø = 0,60 m, em concreto ciclópico, alas retas - esconsidade 0°</v>
      </c>
      <c r="D108" s="434"/>
      <c r="E108" s="434"/>
      <c r="F108" s="434"/>
      <c r="G108" s="495"/>
      <c r="H108" s="434"/>
      <c r="I108" s="496" t="s">
        <v>204</v>
      </c>
      <c r="J108" s="497" t="s">
        <v>205</v>
      </c>
      <c r="K108" s="430" t="s">
        <v>206</v>
      </c>
      <c r="L108" s="482">
        <f>ROUND('[1]Nota de serviço'!J114,2)</f>
        <v>0</v>
      </c>
      <c r="M108" s="431">
        <f>IF($K$82="concreto ciclópico",'[1]6.26-Bca.BDTC-60'!L63,'[1]6.26-Bca.Ped.BDTC-60'!L63)</f>
        <v>811.4</v>
      </c>
      <c r="N108" s="432">
        <f t="shared" si="4"/>
        <v>0</v>
      </c>
    </row>
    <row r="109" spans="1:14" hidden="1" x14ac:dyDescent="0.2">
      <c r="A109" s="433"/>
      <c r="B109" s="429" t="str">
        <f>IF($K$82="concreto ciclópico",'[1]6.27-Bca.BDTC-80'!$L$7,'[1]6.27-Bca.Ped.BDTC-80'!$L$7)</f>
        <v>6.27</v>
      </c>
      <c r="C109" s="434" t="str">
        <f>IF($K$82="concreto ciclópico",'[1]6.27-Bca.BDTC-80'!$E$18,'[1]6.27-Bca.Ped.BDTC-80'!$E$18)</f>
        <v>Boca de BDTC ø = 0,80 m, em concreto ciclópico, alas retas - esconsidade 0°</v>
      </c>
      <c r="D109" s="434"/>
      <c r="E109" s="434"/>
      <c r="F109" s="434"/>
      <c r="G109" s="495"/>
      <c r="H109" s="434"/>
      <c r="I109" s="496" t="s">
        <v>204</v>
      </c>
      <c r="J109" s="497" t="s">
        <v>205</v>
      </c>
      <c r="K109" s="430" t="s">
        <v>206</v>
      </c>
      <c r="L109" s="482">
        <f>ROUND('[1]Nota de serviço'!J115,2)</f>
        <v>0</v>
      </c>
      <c r="M109" s="431">
        <f>IF($K$82="concreto ciclópico",'[1]6.27-Bca.BDTC-80'!L63,'[1]6.27-Bca.Ped.BDTC-80'!L63)</f>
        <v>1504.76</v>
      </c>
      <c r="N109" s="432">
        <f t="shared" si="4"/>
        <v>0</v>
      </c>
    </row>
    <row r="110" spans="1:14" x14ac:dyDescent="0.2">
      <c r="A110" s="433"/>
      <c r="B110" s="429" t="s">
        <v>209</v>
      </c>
      <c r="C110" s="434" t="str">
        <f>IF($K$82="concreto ciclópico",'[1]6.28-Bca.BDTC-100'!$E$18,'[1]6.28-Bca.Ped.BDTC-100'!$E$18)</f>
        <v>Boca de BDTC ø = 1,00 m, em concreto ciclópico, alas retas - esconsidade 0°</v>
      </c>
      <c r="D110" s="434"/>
      <c r="E110" s="434"/>
      <c r="F110" s="434"/>
      <c r="G110" s="495"/>
      <c r="H110" s="434"/>
      <c r="I110" s="496" t="s">
        <v>204</v>
      </c>
      <c r="J110" s="497" t="s">
        <v>205</v>
      </c>
      <c r="K110" s="430" t="s">
        <v>206</v>
      </c>
      <c r="L110" s="482">
        <f>ROUND('[1]Nota de serviço'!J116,2)</f>
        <v>14</v>
      </c>
      <c r="M110" s="431">
        <f>IF($K$82="concreto ciclópico",'[1]6.28-Bca.BDTC-100'!L63,'[1]6.28-Bca.Ped.BDTC-100'!L63)</f>
        <v>1988.9</v>
      </c>
      <c r="N110" s="432">
        <f t="shared" si="4"/>
        <v>27844.6</v>
      </c>
    </row>
    <row r="111" spans="1:14" hidden="1" x14ac:dyDescent="0.2">
      <c r="A111" s="433"/>
      <c r="B111" s="429" t="str">
        <f>IF($K$82="concreto ciclópico",'[1]6.29-Bca.BDTC-120'!$L$7,'[1]6.29-Bca.Ped.BDTC-120'!$L$7)</f>
        <v>6.29</v>
      </c>
      <c r="C111" s="434" t="str">
        <f>IF($K$82="concreto ciclópico",'[1]6.29-Bca.BDTC-120'!$E$18,'[1]6.29-Bca.Ped.BDTC-120'!$E$18)</f>
        <v>Boca de BDTC ø = 1,20 m, em concreto ciclópico, alas retas - esconsidade 0°</v>
      </c>
      <c r="D111" s="434"/>
      <c r="E111" s="434"/>
      <c r="F111" s="434"/>
      <c r="G111" s="495"/>
      <c r="H111" s="434"/>
      <c r="I111" s="493" t="s">
        <v>204</v>
      </c>
      <c r="J111" s="498" t="s">
        <v>205</v>
      </c>
      <c r="K111" s="430" t="s">
        <v>206</v>
      </c>
      <c r="L111" s="482">
        <f>ROUND('[1]Nota de serviço'!J117,2)</f>
        <v>0</v>
      </c>
      <c r="M111" s="431">
        <f>IF($K$82="concreto ciclópico",'[1]6.29-Bca.BDTC-120'!L63,'[1]6.29-Bca.Ped.BDTC-120'!L63)</f>
        <v>2637.82</v>
      </c>
      <c r="N111" s="432">
        <f t="shared" si="4"/>
        <v>0</v>
      </c>
    </row>
    <row r="112" spans="1:14" hidden="1" x14ac:dyDescent="0.2">
      <c r="A112" s="433"/>
      <c r="B112" s="429" t="str">
        <f>IF($K$82="concreto ciclópico",'[1]6.30-Bca.BDTC-150'!$L$7,'[1]6.30-Bca.Ped.BDTC-150'!$L$7)</f>
        <v>6.30</v>
      </c>
      <c r="C112" s="434" t="str">
        <f>IF($K$82="concreto ciclópico",'[1]6.30-Bca.BDTC-150'!$E$18,'[1]6.30-Bca.Ped.BDTC-150'!$E$18)</f>
        <v>Boca de BDTC ø = 1,50 m, em concreto ciclópico, alas retas - esconsidade 0°</v>
      </c>
      <c r="D112" s="434"/>
      <c r="E112" s="434"/>
      <c r="F112" s="434"/>
      <c r="G112" s="495"/>
      <c r="H112" s="434"/>
      <c r="I112" s="493" t="s">
        <v>204</v>
      </c>
      <c r="J112" s="498" t="s">
        <v>205</v>
      </c>
      <c r="K112" s="430" t="s">
        <v>206</v>
      </c>
      <c r="L112" s="482">
        <f>ROUND('[1]Nota de serviço'!J118,2)</f>
        <v>0</v>
      </c>
      <c r="M112" s="431">
        <f>IF($K$82="concreto ciclópico",'[1]6.30-Bca.BDTC-150'!L63,'[1]6.30-Bca.Ped.BDTC-150'!L63)</f>
        <v>4325.24</v>
      </c>
      <c r="N112" s="432">
        <f t="shared" si="4"/>
        <v>0</v>
      </c>
    </row>
    <row r="113" spans="1:14" hidden="1" x14ac:dyDescent="0.2">
      <c r="A113" s="433"/>
      <c r="B113" s="429" t="str">
        <f>IF($K$82="concreto ciclópico",'[1]6.31-Bca.BTTC-40'!$L$7,'[1]6.31-Bca.Ped.BTTC-40'!$L$7)</f>
        <v>6.31</v>
      </c>
      <c r="C113" s="434" t="str">
        <f>IF($K$82="concreto ciclópico",'[1]6.31-Bca.BTTC-40'!$E$18,'[1]6.31-Bca.Ped.BTTC-40'!$E$18)</f>
        <v>Boca de BTTC ø = 0,40 m, em concreto ciclópico, alas retas - esconsidade 0°</v>
      </c>
      <c r="D113" s="434"/>
      <c r="E113" s="434"/>
      <c r="F113" s="434"/>
      <c r="G113" s="495"/>
      <c r="H113" s="434"/>
      <c r="I113" s="493" t="s">
        <v>204</v>
      </c>
      <c r="J113" s="498" t="s">
        <v>205</v>
      </c>
      <c r="K113" s="430" t="s">
        <v>206</v>
      </c>
      <c r="L113" s="482">
        <f>ROUND('[1]Nota de serviço'!J119,2)</f>
        <v>0</v>
      </c>
      <c r="M113" s="431">
        <f>IF($K$82="concreto ciclópico",'[1]6.31-Bca.BTTC-40'!L63,'[1]6.31-Bca.Ped.BTTC-40'!L63)</f>
        <v>699.64</v>
      </c>
      <c r="N113" s="432">
        <f t="shared" si="4"/>
        <v>0</v>
      </c>
    </row>
    <row r="114" spans="1:14" hidden="1" x14ac:dyDescent="0.2">
      <c r="A114" s="433"/>
      <c r="B114" s="429" t="str">
        <f>IF($K$82="concreto ciclópico",'[1]6.32-Bca.BTTC-60'!$L$7,'[1]6.32-Bca.Ped.BTTC-60'!$L$7)</f>
        <v>6.32</v>
      </c>
      <c r="C114" s="434" t="str">
        <f>IF($K$82="concreto ciclópico",'[1]6.32-Bca.BTTC-60'!$E$18,'[1]6.32-Bca.Ped.BTTC-60'!$E$18)</f>
        <v>Boca de BTTC ø = 0,60 m, em concreto ciclópico, alas retas - esconsidade 0°</v>
      </c>
      <c r="D114" s="434"/>
      <c r="E114" s="434"/>
      <c r="F114" s="434"/>
      <c r="G114" s="495"/>
      <c r="H114" s="434"/>
      <c r="I114" s="493" t="s">
        <v>204</v>
      </c>
      <c r="J114" s="498" t="s">
        <v>205</v>
      </c>
      <c r="K114" s="430" t="s">
        <v>206</v>
      </c>
      <c r="L114" s="482">
        <f>ROUND('[1]Nota de serviço'!J120,2)</f>
        <v>0</v>
      </c>
      <c r="M114" s="431">
        <f>IF($K$82="concreto ciclópico",'[1]6.32-Bca.BTTC-60'!L63,'[1]6.32-Bca.Ped.BTTC-60'!L63)</f>
        <v>1032.1500000000001</v>
      </c>
      <c r="N114" s="432">
        <f t="shared" si="4"/>
        <v>0</v>
      </c>
    </row>
    <row r="115" spans="1:14" hidden="1" x14ac:dyDescent="0.2">
      <c r="A115" s="433"/>
      <c r="B115" s="429" t="str">
        <f>IF($K$82="concreto ciclópico",'[1]6.33-Bca.BTTC-80'!$L$7,'[1]6.33-Bca.Ped.BTTC-80'!$L$7)</f>
        <v>6.33</v>
      </c>
      <c r="C115" s="434" t="str">
        <f>IF($K$82="concreto ciclópico",'[1]6.33-Bca.BTTC-80'!$E$18,'[1]6.33-Bca.Ped.BTTC-80'!$E$18)</f>
        <v>Boca de BTTC ø = 0,80 m, em concreto ciclópico, alas retas - esconsidade 0°</v>
      </c>
      <c r="D115" s="434"/>
      <c r="E115" s="434"/>
      <c r="F115" s="434"/>
      <c r="G115" s="495"/>
      <c r="H115" s="434"/>
      <c r="I115" s="493" t="s">
        <v>204</v>
      </c>
      <c r="J115" s="498" t="s">
        <v>205</v>
      </c>
      <c r="K115" s="430" t="s">
        <v>206</v>
      </c>
      <c r="L115" s="482">
        <f>ROUND('[1]Nota de serviço'!J121,2)</f>
        <v>0</v>
      </c>
      <c r="M115" s="431">
        <f>IF($K$82="concreto ciclópico",'[1]6.33-Bca.BTTC-80'!L63,'[1]6.33-Bca.Ped.BTTC-80'!L63)</f>
        <v>1893.08</v>
      </c>
      <c r="N115" s="432">
        <f t="shared" si="4"/>
        <v>0</v>
      </c>
    </row>
    <row r="116" spans="1:14" hidden="1" x14ac:dyDescent="0.2">
      <c r="A116" s="433"/>
      <c r="B116" s="429" t="str">
        <f>IF($K$82="concreto ciclópico",'[1]6.34-Bca.BTTC-100'!$L$7,'[1]6.34-Bca.Ped.BTTC-100'!$L$7)</f>
        <v>6.34</v>
      </c>
      <c r="C116" s="434" t="str">
        <f>IF($K$82="concreto ciclópico",'[1]6.34-Bca.BTTC-100'!$E$18,'[1]6.34-Bca.Ped.BTTC-100'!$E$18)</f>
        <v>Boca de BTTC ø = 1,00 m, em concreto ciclópico, alas retas - esconsidade 0°</v>
      </c>
      <c r="D116" s="434"/>
      <c r="E116" s="434"/>
      <c r="F116" s="434"/>
      <c r="G116" s="495"/>
      <c r="H116" s="434"/>
      <c r="I116" s="493" t="s">
        <v>204</v>
      </c>
      <c r="J116" s="498" t="s">
        <v>205</v>
      </c>
      <c r="K116" s="430" t="s">
        <v>206</v>
      </c>
      <c r="L116" s="482">
        <f>ROUND('[1]Nota de serviço'!J122,2)</f>
        <v>0</v>
      </c>
      <c r="M116" s="431">
        <f>IF($K$82="concreto ciclópico",'[1]6.34-Bca.BTTC-100'!L63,'[1]6.34-Bca.Ped.BTTC-100'!L63)</f>
        <v>2503.77</v>
      </c>
      <c r="N116" s="432">
        <f t="shared" si="4"/>
        <v>0</v>
      </c>
    </row>
    <row r="117" spans="1:14" hidden="1" x14ac:dyDescent="0.2">
      <c r="A117" s="433"/>
      <c r="B117" s="429" t="str">
        <f>IF($K$82="concreto ciclópico",'[1]6.35-Bca.BTTC-120'!$L$7,'[1]6.35-Bca.Ped.BTTC-120'!$L$7)</f>
        <v>6.35</v>
      </c>
      <c r="C117" s="434" t="str">
        <f>IF($K$82="concreto ciclópico",'[1]6.35-Bca.BTTC-120'!$E$18,'[1]6.35-Bca.Ped.BTTC-120'!$E$18)</f>
        <v>Boca de BTTC ø = 1,20 m, em concreto ciclópico, alas retas - esconsidade 0°</v>
      </c>
      <c r="D117" s="434"/>
      <c r="E117" s="434"/>
      <c r="F117" s="434"/>
      <c r="G117" s="495"/>
      <c r="H117" s="434"/>
      <c r="I117" s="493" t="s">
        <v>204</v>
      </c>
      <c r="J117" s="498" t="s">
        <v>205</v>
      </c>
      <c r="K117" s="430" t="s">
        <v>206</v>
      </c>
      <c r="L117" s="482">
        <f>ROUND('[1]Nota de serviço'!J123,2)</f>
        <v>0</v>
      </c>
      <c r="M117" s="431">
        <f>IF($K$82="concreto ciclópico",'[1]6.35-Bca.BTTC-120'!L63,'[1]6.35-Bca.Ped.BTTC-120'!L63)</f>
        <v>3315.46</v>
      </c>
      <c r="N117" s="432">
        <f t="shared" si="4"/>
        <v>0</v>
      </c>
    </row>
    <row r="118" spans="1:14" hidden="1" x14ac:dyDescent="0.2">
      <c r="A118" s="433"/>
      <c r="B118" s="429" t="str">
        <f>IF($K$82="concreto ciclópico",'[1]6.36-Bca.BTTC-150'!$L$7,'[1]6.36-Bca.Ped.BTTC-150'!$L$7)</f>
        <v>6.36</v>
      </c>
      <c r="C118" s="434" t="str">
        <f>IF($K$82="concreto ciclópico",'[1]6.36-Bca.BTTC-150'!$E$18,'[1]6.36-Bca.Ped.BTTC-150'!$E$18)</f>
        <v>Boca de BTTC ø = 1,50 m, em concreto ciclópico, alas retas - esconsidade 0°</v>
      </c>
      <c r="D118" s="434"/>
      <c r="E118" s="434"/>
      <c r="F118" s="434"/>
      <c r="G118" s="495"/>
      <c r="H118" s="434"/>
      <c r="I118" s="493" t="s">
        <v>204</v>
      </c>
      <c r="J118" s="498" t="s">
        <v>205</v>
      </c>
      <c r="K118" s="430" t="s">
        <v>206</v>
      </c>
      <c r="L118" s="482">
        <f>ROUND('[1]Nota de serviço'!J124,2)</f>
        <v>0</v>
      </c>
      <c r="M118" s="431">
        <f>IF($K$82="concreto ciclópico",'[1]6.36-Bca.BTTC-150'!L63,'[1]6.36-Bca.Ped.BTTC-150'!L63)</f>
        <v>5383.84</v>
      </c>
      <c r="N118" s="432">
        <f t="shared" si="4"/>
        <v>0</v>
      </c>
    </row>
    <row r="119" spans="1:14" hidden="1" x14ac:dyDescent="0.2">
      <c r="A119" s="433"/>
      <c r="B119" s="429" t="str">
        <f>'[1]6.37-Esc.Mec.Vala'!L7</f>
        <v>6.37</v>
      </c>
      <c r="C119" s="434" t="str">
        <f>'[1]6.37-Esc.Mec.Vala'!E18</f>
        <v>Escavação mecânica de vala em material de 1ª categoria</v>
      </c>
      <c r="D119" s="434"/>
      <c r="E119" s="434"/>
      <c r="F119" s="434"/>
      <c r="G119" s="495"/>
      <c r="H119" s="434"/>
      <c r="I119" s="434"/>
      <c r="J119" s="499"/>
      <c r="K119" s="449" t="str">
        <f>'[1]6.37-Esc.Mec.Vala'!L18</f>
        <v>m³</v>
      </c>
      <c r="L119" s="426"/>
      <c r="M119" s="431">
        <f>'[1]6.37-Esc.Mec.Vala'!L66</f>
        <v>8.14</v>
      </c>
      <c r="N119" s="432">
        <f t="shared" si="4"/>
        <v>0</v>
      </c>
    </row>
    <row r="120" spans="1:14" hidden="1" x14ac:dyDescent="0.2">
      <c r="A120" s="433"/>
      <c r="B120" s="429" t="str">
        <f>'[1]6.38-Reaterro.Man.Soq.Vib'!L7</f>
        <v>6.38</v>
      </c>
      <c r="C120" s="434" t="str">
        <f>'[1]6.38-Reaterro.Man.Soq.Vib'!E18</f>
        <v>Reaterro e compactação com soquete vibratório</v>
      </c>
      <c r="D120" s="434"/>
      <c r="E120" s="434"/>
      <c r="F120" s="434"/>
      <c r="G120" s="495"/>
      <c r="H120" s="434"/>
      <c r="I120" s="434"/>
      <c r="J120" s="500"/>
      <c r="K120" s="433" t="str">
        <f>'[1]6.38-Reaterro.Man.Soq.Vib'!L18</f>
        <v>m³</v>
      </c>
      <c r="L120" s="426"/>
      <c r="M120" s="431">
        <f>'[1]6.38-Reaterro.Man.Soq.Vib'!L69</f>
        <v>15.89</v>
      </c>
      <c r="N120" s="432">
        <f t="shared" si="4"/>
        <v>0</v>
      </c>
    </row>
    <row r="121" spans="1:14" hidden="1" x14ac:dyDescent="0.2">
      <c r="A121" s="433"/>
      <c r="B121" s="429" t="str">
        <f>'[1]6.39-Comp'!L7</f>
        <v>6.39</v>
      </c>
      <c r="C121" s="464">
        <f>'[1]6.39-Comp'!E18</f>
        <v>0</v>
      </c>
      <c r="D121" s="434"/>
      <c r="E121" s="434"/>
      <c r="F121" s="434"/>
      <c r="G121" s="495"/>
      <c r="H121" s="434"/>
      <c r="I121" s="434"/>
      <c r="J121" s="499"/>
      <c r="K121" s="449">
        <f>'[1]6.39-Comp'!L18</f>
        <v>0</v>
      </c>
      <c r="L121" s="426"/>
      <c r="M121" s="431">
        <f>'[1]6.39-Comp'!L69</f>
        <v>0</v>
      </c>
      <c r="N121" s="432">
        <f t="shared" si="4"/>
        <v>0</v>
      </c>
    </row>
    <row r="122" spans="1:14" hidden="1" x14ac:dyDescent="0.2">
      <c r="A122" s="433"/>
      <c r="B122" s="429" t="str">
        <f>'[1]6.40-Comp'!L7</f>
        <v>6.40</v>
      </c>
      <c r="C122" s="464">
        <f>'[1]6.40-Comp'!E18</f>
        <v>0</v>
      </c>
      <c r="D122" s="434"/>
      <c r="E122" s="434"/>
      <c r="F122" s="434"/>
      <c r="G122" s="495"/>
      <c r="H122" s="434"/>
      <c r="I122" s="434"/>
      <c r="J122" s="499"/>
      <c r="K122" s="449">
        <f>'[1]6.40-Comp'!L18</f>
        <v>0</v>
      </c>
      <c r="L122" s="426"/>
      <c r="M122" s="431">
        <f>'[1]6.40-Comp'!L69</f>
        <v>0</v>
      </c>
      <c r="N122" s="432">
        <f t="shared" si="4"/>
        <v>0</v>
      </c>
    </row>
    <row r="123" spans="1:14" hidden="1" x14ac:dyDescent="0.2">
      <c r="A123" s="433"/>
      <c r="B123" s="429" t="str">
        <f>'[1]6.41-Comp'!L7</f>
        <v>6.41</v>
      </c>
      <c r="C123" s="464">
        <f>'[1]6.41-Comp'!E18</f>
        <v>0</v>
      </c>
      <c r="D123" s="434"/>
      <c r="E123" s="434"/>
      <c r="F123" s="434"/>
      <c r="G123" s="495"/>
      <c r="H123" s="434"/>
      <c r="I123" s="434"/>
      <c r="J123" s="499"/>
      <c r="K123" s="449">
        <f>'[1]6.41-Comp'!L18</f>
        <v>0</v>
      </c>
      <c r="L123" s="426"/>
      <c r="M123" s="431">
        <f>'[1]6.41-Comp'!L69</f>
        <v>0</v>
      </c>
      <c r="N123" s="432">
        <f t="shared" si="4"/>
        <v>0</v>
      </c>
    </row>
    <row r="124" spans="1:14" x14ac:dyDescent="0.2">
      <c r="A124" s="446"/>
      <c r="B124" s="451"/>
      <c r="C124" s="452"/>
      <c r="D124" s="452"/>
      <c r="E124" s="452"/>
      <c r="F124" s="452"/>
      <c r="G124" s="452"/>
      <c r="H124" s="452"/>
      <c r="I124" s="452"/>
      <c r="J124" s="452"/>
      <c r="K124" s="453"/>
      <c r="L124" s="454"/>
      <c r="M124" s="455"/>
      <c r="N124" s="456"/>
    </row>
    <row r="125" spans="1:14" hidden="1" x14ac:dyDescent="0.2">
      <c r="A125" s="485" t="s">
        <v>210</v>
      </c>
      <c r="B125" s="417" t="s">
        <v>211</v>
      </c>
      <c r="C125" s="417"/>
      <c r="D125" s="417"/>
      <c r="E125" s="417"/>
      <c r="F125" s="417"/>
      <c r="G125" s="417"/>
      <c r="H125" s="417"/>
      <c r="I125" s="417"/>
      <c r="J125" s="467"/>
      <c r="K125" s="418"/>
      <c r="L125" s="486"/>
      <c r="M125" s="468"/>
      <c r="N125" s="421">
        <f>SUM(N126:N143)</f>
        <v>0</v>
      </c>
    </row>
    <row r="126" spans="1:14" hidden="1" x14ac:dyDescent="0.2">
      <c r="A126" s="490"/>
      <c r="B126" s="423" t="str">
        <f>'[1]7.1-Pte.Mad.'!L7</f>
        <v>7.1</v>
      </c>
      <c r="C126" s="1366" t="str">
        <f>'[1]7.1-Pte.Mad.'!E18</f>
        <v>Ponte em madeira de lei LEGALIZADA (peças aparelhadas), com vigamento simples e fundação em estacas cravadas, com largura mínima de 5,00 m (exceto alas para contenção de aterro) - Dados da ponte devem ser informados na planilha Quant. Ponte Madeira</v>
      </c>
      <c r="D126" s="1366"/>
      <c r="E126" s="1366"/>
      <c r="F126" s="1366"/>
      <c r="G126" s="1366"/>
      <c r="H126" s="1366"/>
      <c r="I126" s="1366"/>
      <c r="J126" s="1366"/>
      <c r="K126" s="425" t="str">
        <f>'[1]7.1-Pte.Mad.'!L18</f>
        <v>m</v>
      </c>
      <c r="L126" s="491">
        <f>ROUND('[1]Nota de serviço'!I126,2)</f>
        <v>0</v>
      </c>
      <c r="M126" s="462">
        <f>'[1]7.1-Pte.Mad.'!L70</f>
        <v>6997.96</v>
      </c>
      <c r="N126" s="428">
        <f t="shared" ref="N126:N136" si="5">ROUND(L126*M126,2)</f>
        <v>0</v>
      </c>
    </row>
    <row r="127" spans="1:14" hidden="1" x14ac:dyDescent="0.2">
      <c r="A127" s="490"/>
      <c r="B127" s="423" t="str">
        <f>'[1]7.2-Pte.Ala.'!L7</f>
        <v>7.2</v>
      </c>
      <c r="C127" s="1366" t="str">
        <f>'[1]7.2-Pte.Ala.'!E18</f>
        <v>Ala de contenção de aterro para ponte em madeira de lei LEGALIZADA (peças aparelhadas), fundação em estacas cravadas, com largura mínima de 5,00 m  - Dados das alas devem ser informados na planilha Quant. Ponte Madeira</v>
      </c>
      <c r="D127" s="1366"/>
      <c r="E127" s="1366"/>
      <c r="F127" s="1366"/>
      <c r="G127" s="1366"/>
      <c r="H127" s="1366"/>
      <c r="I127" s="1366"/>
      <c r="J127" s="1366"/>
      <c r="K127" s="425" t="str">
        <f>'[1]7.2-Pte.Ala.'!L18</f>
        <v>un</v>
      </c>
      <c r="L127" s="426">
        <v>0</v>
      </c>
      <c r="M127" s="462">
        <f>'[1]7.2-Pte.Ala.'!L70</f>
        <v>8907.65</v>
      </c>
      <c r="N127" s="428">
        <f t="shared" si="5"/>
        <v>0</v>
      </c>
    </row>
    <row r="128" spans="1:14" hidden="1" x14ac:dyDescent="0.2">
      <c r="A128" s="433"/>
      <c r="B128" s="429" t="str">
        <f>'[1]7.3-Pte.Ped.Arg.Mad.'!L7</f>
        <v>7.3</v>
      </c>
      <c r="C128" s="1351" t="str">
        <f>'[1]7.3-Pte.Ped.Arg.Mad.'!E18</f>
        <v>Ponte mista em pedra argamassada e madeira de lei LEGALIZADA (peças aparelhadas), largura mínima de 5,00 m, inclusive imunização total das madeiras.</v>
      </c>
      <c r="D128" s="1351"/>
      <c r="E128" s="1351"/>
      <c r="F128" s="1351"/>
      <c r="G128" s="1351"/>
      <c r="H128" s="1351"/>
      <c r="I128" s="1351"/>
      <c r="J128" s="1351"/>
      <c r="K128" s="430" t="str">
        <f>'[1]7.3-Pte.Ped.Arg.Mad.'!L18</f>
        <v>m</v>
      </c>
      <c r="L128" s="426"/>
      <c r="M128" s="431">
        <f>'[1]7.3-Pte.Ped.Arg.Mad.'!L69</f>
        <v>6873.34</v>
      </c>
      <c r="N128" s="432">
        <f t="shared" si="5"/>
        <v>0</v>
      </c>
    </row>
    <row r="129" spans="1:14" hidden="1" x14ac:dyDescent="0.2">
      <c r="A129" s="433"/>
      <c r="B129" s="429" t="str">
        <f>'[1]7.4-Ptlh.Mad'!L7</f>
        <v>7.4</v>
      </c>
      <c r="C129" s="434" t="str">
        <f>'[1]7.4-Ptlh.Mad'!E18</f>
        <v>Pontilhão em madeira de lei LEGALIZADA pranchado (peças aparelhadas), com largura mínima de 4,20 m.</v>
      </c>
      <c r="D129" s="434"/>
      <c r="E129" s="434"/>
      <c r="F129" s="434"/>
      <c r="G129" s="434"/>
      <c r="H129" s="434"/>
      <c r="I129" s="434"/>
      <c r="J129" s="435"/>
      <c r="K129" s="430" t="str">
        <f>'[1]7.4-Ptlh.Mad'!L18</f>
        <v>m</v>
      </c>
      <c r="L129" s="491">
        <f>ROUND('[1]Nota de serviço'!I125,2)</f>
        <v>0</v>
      </c>
      <c r="M129" s="431">
        <f>'[1]7.4-Ptlh.Mad'!L69</f>
        <v>4240.97</v>
      </c>
      <c r="N129" s="432">
        <f t="shared" si="5"/>
        <v>0</v>
      </c>
    </row>
    <row r="130" spans="1:14" hidden="1" x14ac:dyDescent="0.2">
      <c r="A130" s="433" t="s">
        <v>212</v>
      </c>
      <c r="B130" s="429" t="str">
        <f>'[1]7.5-Pte.Mist.Conc.Mad.'!L7</f>
        <v>7.5</v>
      </c>
      <c r="C130" s="1351" t="str">
        <f>'[1]7.5-Pte.Mist.Conc.Mad.'!E18</f>
        <v>Ponte em estrutura mista (concreto e madeira de lei LEGALIZADA - peças aparelhadas), com vigamento simples e fundação em estacas cravadas (madeira e/ou concreto), largura mínima de 5,00 m. Elementos em concreto armado =&gt; blocos, pilares, transversinas, vigas de contraventamentos, alas e testas de caixão de aterro e guarda corpo. Elementos em madeira de lei =&gt; balancins, longarinas, assoalho, rodeiros e guarda rodas, inclusive imunização total das madeiras (deverá ser elaborado o projeto estrutural da ponte, bem como orçamento específico para apresentação da proposta).</v>
      </c>
      <c r="D130" s="1351"/>
      <c r="E130" s="1351"/>
      <c r="F130" s="1351"/>
      <c r="G130" s="1351"/>
      <c r="H130" s="1351"/>
      <c r="I130" s="1351"/>
      <c r="J130" s="1351"/>
      <c r="K130" s="430" t="s">
        <v>135</v>
      </c>
      <c r="L130" s="426"/>
      <c r="M130" s="501">
        <f>'[1]7.5-Pte.Mist.Conc.Mad.'!L69</f>
        <v>0</v>
      </c>
      <c r="N130" s="432">
        <f t="shared" si="5"/>
        <v>0</v>
      </c>
    </row>
    <row r="131" spans="1:14" hidden="1" x14ac:dyDescent="0.2">
      <c r="A131" s="433" t="s">
        <v>212</v>
      </c>
      <c r="B131" s="429" t="str">
        <f>'[1]7.6-Pte.Conc.Armado'!L7</f>
        <v>7.6</v>
      </c>
      <c r="C131" s="1351" t="str">
        <f>'[1]7.6-Pte.Conc.Armado'!E18</f>
        <v>Ponte em estrutura de concreto armado largura mínima de 5,00 m (deverá ser elaborado o projeto estrutural da ponte, bem como orçamento específico para apresentação da proposta)</v>
      </c>
      <c r="D131" s="1351"/>
      <c r="E131" s="1351"/>
      <c r="F131" s="1351"/>
      <c r="G131" s="1351"/>
      <c r="H131" s="1351"/>
      <c r="I131" s="1351"/>
      <c r="J131" s="1351"/>
      <c r="K131" s="430" t="s">
        <v>135</v>
      </c>
      <c r="L131" s="426"/>
      <c r="M131" s="501">
        <f>'[1]7.6-Pte.Conc.Armado'!L69</f>
        <v>0</v>
      </c>
      <c r="N131" s="432">
        <f t="shared" si="5"/>
        <v>0</v>
      </c>
    </row>
    <row r="132" spans="1:14" hidden="1" x14ac:dyDescent="0.2">
      <c r="A132" s="1361"/>
      <c r="B132" s="1362" t="str">
        <f>'[1]7.7-Sinaliz.Obra.Arte'!L7</f>
        <v>7.7</v>
      </c>
      <c r="C132" s="1365" t="str">
        <f>'[1]7.7-Sinaliz.Obra.Arte'!E18</f>
        <v>Fornecimento e implantação de placa de advertência para sinalização de obras de arte especiais, em chapa de aço galvanizado nº 16, película retrorrefletiva tipo I + SI, com suporte e travessa em madeira de lei tratada 8 x 8 cm. (Informar as medidas das placas dessa composição)</v>
      </c>
      <c r="D132" s="1365"/>
      <c r="E132" s="1365"/>
      <c r="F132" s="1365"/>
      <c r="G132" s="502" t="str">
        <f>CONCATENATE("7.6.1 - ",'[1]7.7-Sinaliz.Obra.Arte'!E65," - (",'[1]7.7-Sinaliz.Obra.Arte'!F65,"x",'[1]7.7-Sinaliz.Obra.Arte'!G65,")m")</f>
        <v>7.6.1 - Ponte estreita, código A-22 (amar) - (0,8x0,8)m</v>
      </c>
      <c r="H132" s="503"/>
      <c r="I132" s="504"/>
      <c r="J132" s="505"/>
      <c r="K132" s="430" t="str">
        <f>'[1]7.7-Sinaliz.Obra.Arte'!L18</f>
        <v>un</v>
      </c>
      <c r="L132" s="426"/>
      <c r="M132" s="431">
        <f>'[1]7.7-Sinaliz.Obra.Arte'!L65</f>
        <v>557.76</v>
      </c>
      <c r="N132" s="432">
        <f t="shared" si="5"/>
        <v>0</v>
      </c>
    </row>
    <row r="133" spans="1:14" hidden="1" x14ac:dyDescent="0.2">
      <c r="A133" s="1361"/>
      <c r="B133" s="1362"/>
      <c r="C133" s="1365"/>
      <c r="D133" s="1365"/>
      <c r="E133" s="1365"/>
      <c r="F133" s="1365"/>
      <c r="G133" s="502" t="str">
        <f>CONCATENATE("7.6.2 - ",'[1]7.7-Sinaliz.Obra.Arte'!E66," - (",'[1]7.7-Sinaliz.Obra.Arte'!F66,"x",'[1]7.7-Sinaliz.Obra.Arte'!G66,")m")</f>
        <v>7.6.2 - Identificação de OAE (azul) - (1,5x1)m</v>
      </c>
      <c r="H133" s="503"/>
      <c r="I133" s="504"/>
      <c r="J133" s="505"/>
      <c r="K133" s="430" t="str">
        <f>'[1]7.7-Sinaliz.Obra.Arte'!L18</f>
        <v>un</v>
      </c>
      <c r="L133" s="426"/>
      <c r="M133" s="431">
        <f>'[1]7.7-Sinaliz.Obra.Arte'!L66</f>
        <v>1182.24</v>
      </c>
      <c r="N133" s="432">
        <f t="shared" si="5"/>
        <v>0</v>
      </c>
    </row>
    <row r="134" spans="1:14" hidden="1" x14ac:dyDescent="0.2">
      <c r="A134" s="1361"/>
      <c r="B134" s="1362"/>
      <c r="C134" s="1365"/>
      <c r="D134" s="1365"/>
      <c r="E134" s="1365"/>
      <c r="F134" s="1365"/>
      <c r="G134" s="506" t="str">
        <f>CONCATENATE("7.6.3 - ",'[1]7.7-Sinaliz.Obra.Arte'!E67," - (",'[1]7.7-Sinaliz.Obra.Arte'!F67,"x",'[1]7.7-Sinaliz.Obra.Arte'!G67,")m")</f>
        <v>7.6.3 - Marcador de alinhamento (amar.) - (0,5x0,6)m</v>
      </c>
      <c r="H134" s="503"/>
      <c r="I134" s="507"/>
      <c r="J134" s="505"/>
      <c r="K134" s="430" t="str">
        <f>'[1]7.7-Sinaliz.Obra.Arte'!L18</f>
        <v>un</v>
      </c>
      <c r="L134" s="426"/>
      <c r="M134" s="431">
        <f>'[1]7.7-Sinaliz.Obra.Arte'!L67</f>
        <v>372.03</v>
      </c>
      <c r="N134" s="432">
        <f t="shared" si="5"/>
        <v>0</v>
      </c>
    </row>
    <row r="135" spans="1:14" hidden="1" x14ac:dyDescent="0.2">
      <c r="A135" s="433" t="s">
        <v>212</v>
      </c>
      <c r="B135" s="429" t="str">
        <f>'[1]7.8-Mata.Burro'!L7</f>
        <v>7.8</v>
      </c>
      <c r="C135" s="1351" t="str">
        <f>'[1]7.8-Mata.Burro'!E18</f>
        <v>Mata burro com estrutura em perfis de aço e concreto (Incluso transporte) - Preencher os campos da DMT dessa composição</v>
      </c>
      <c r="D135" s="1351"/>
      <c r="E135" s="1351"/>
      <c r="F135" s="1351"/>
      <c r="G135" s="1351"/>
      <c r="H135" s="1351"/>
      <c r="I135" s="1351"/>
      <c r="J135" s="1351"/>
      <c r="K135" s="430" t="str">
        <f>'[1]7.8-Mata.Burro'!L18</f>
        <v>un</v>
      </c>
      <c r="L135" s="491">
        <f>ROUND('[1]Nota de serviço'!I127,2)</f>
        <v>0</v>
      </c>
      <c r="M135" s="431">
        <f>'[1]7.8-Mata.Burro'!L67</f>
        <v>5249.83</v>
      </c>
      <c r="N135" s="432">
        <f t="shared" si="5"/>
        <v>0</v>
      </c>
    </row>
    <row r="136" spans="1:14" hidden="1" x14ac:dyDescent="0.2">
      <c r="A136" s="433" t="s">
        <v>212</v>
      </c>
      <c r="B136" s="429" t="str">
        <f>'[1]7.9-Passagem.Molhada'!L7</f>
        <v>7.9</v>
      </c>
      <c r="C136" s="1351" t="str">
        <f>'[1]7.9-Passagem.Molhada'!E18</f>
        <v>Passagem molhada em alvenaria de pedra argamassada 1:4 (largura livre de 5,00 m), inclusive enrocamento de pedra de mão à jusante (largura mínima de 3,00 m)</v>
      </c>
      <c r="D136" s="1351"/>
      <c r="E136" s="1351"/>
      <c r="F136" s="1351"/>
      <c r="G136" s="1351"/>
      <c r="H136" s="1351"/>
      <c r="I136" s="1351"/>
      <c r="J136" s="1351"/>
      <c r="K136" s="430" t="str">
        <f>'[1]7.9-Passagem.Molhada'!L18</f>
        <v>m</v>
      </c>
      <c r="L136" s="491">
        <f>ROUND('[1]Nota de serviço'!I128,2)</f>
        <v>0</v>
      </c>
      <c r="M136" s="431">
        <f>'[1]7.9-Passagem.Molhada'!L67</f>
        <v>1507.86</v>
      </c>
      <c r="N136" s="432">
        <f t="shared" si="5"/>
        <v>0</v>
      </c>
    </row>
    <row r="137" spans="1:14" hidden="1" x14ac:dyDescent="0.2">
      <c r="A137" s="1361"/>
      <c r="B137" s="1362" t="str">
        <f>'[1]7.10-Sinaliz.Provisória'!L7</f>
        <v>7.10</v>
      </c>
      <c r="C137" s="1363" t="str">
        <f>'[1]7.10-Sinaliz.Provisória'!E18</f>
        <v>Conjunto de placas para sinalização provisória de execução de obras, com películas retrorrefletivas do tipo VIII e do tipo I + X, inclusive cavaletes</v>
      </c>
      <c r="D137" s="1363"/>
      <c r="E137" s="1359" t="str">
        <f>CONCATENATE("7.9.1 - ",'[1]7.10-Sinaliz.Provisória'!D49)</f>
        <v>7.9.1 - 0</v>
      </c>
      <c r="F137" s="1359"/>
      <c r="G137" s="1359"/>
      <c r="H137" s="1359"/>
      <c r="I137" s="1359"/>
      <c r="J137" s="1359"/>
      <c r="K137" s="1364" t="str">
        <f>'[1]7.10-Sinaliz.Provisória'!L18</f>
        <v>cj</v>
      </c>
      <c r="L137" s="426">
        <v>0</v>
      </c>
      <c r="M137" s="1357">
        <f>'[1]7.10-Sinaliz.Provisória'!L68</f>
        <v>0</v>
      </c>
      <c r="N137" s="1358">
        <f>M137</f>
        <v>0</v>
      </c>
    </row>
    <row r="138" spans="1:14" hidden="1" x14ac:dyDescent="0.2">
      <c r="A138" s="1361"/>
      <c r="B138" s="1362"/>
      <c r="C138" s="1363"/>
      <c r="D138" s="1363"/>
      <c r="E138" s="1359" t="str">
        <f>CONCATENATE("7.9.2 - ",'[1]7.10-Sinaliz.Provisória'!D50)</f>
        <v>7.9.2 - 0</v>
      </c>
      <c r="F138" s="1359"/>
      <c r="G138" s="1359"/>
      <c r="H138" s="1359"/>
      <c r="I138" s="1359"/>
      <c r="J138" s="1359"/>
      <c r="K138" s="1364"/>
      <c r="L138" s="426">
        <v>0</v>
      </c>
      <c r="M138" s="1357"/>
      <c r="N138" s="1358"/>
    </row>
    <row r="139" spans="1:14" hidden="1" x14ac:dyDescent="0.2">
      <c r="A139" s="1361"/>
      <c r="B139" s="1362"/>
      <c r="C139" s="1363"/>
      <c r="D139" s="1363"/>
      <c r="E139" s="1359" t="str">
        <f>CONCATENATE("7.9.3 - ",'[1]7.10-Sinaliz.Provisória'!D51)</f>
        <v>7.9.3 - 0</v>
      </c>
      <c r="F139" s="1359"/>
      <c r="G139" s="1359"/>
      <c r="H139" s="1359"/>
      <c r="I139" s="1359"/>
      <c r="J139" s="1359"/>
      <c r="K139" s="1364"/>
      <c r="L139" s="426">
        <v>0</v>
      </c>
      <c r="M139" s="1357"/>
      <c r="N139" s="1358"/>
    </row>
    <row r="140" spans="1:14" hidden="1" x14ac:dyDescent="0.2">
      <c r="A140" s="433"/>
      <c r="B140" s="429" t="str">
        <f>'[1]7.11-Comp'!L7</f>
        <v>7.11</v>
      </c>
      <c r="C140" s="464">
        <f>'[1]7.11-Comp'!E18</f>
        <v>0</v>
      </c>
      <c r="D140" s="434"/>
      <c r="E140" s="434"/>
      <c r="F140" s="434"/>
      <c r="G140" s="495"/>
      <c r="H140" s="434"/>
      <c r="I140" s="434"/>
      <c r="J140" s="499"/>
      <c r="K140" s="449">
        <f>'[1]7.11-Comp'!L18</f>
        <v>0</v>
      </c>
      <c r="L140" s="426"/>
      <c r="M140" s="431">
        <f>'[1]7.11-Comp'!L69</f>
        <v>0</v>
      </c>
      <c r="N140" s="432">
        <f>ROUND(L140*M140,2)</f>
        <v>0</v>
      </c>
    </row>
    <row r="141" spans="1:14" hidden="1" x14ac:dyDescent="0.2">
      <c r="A141" s="433"/>
      <c r="B141" s="429" t="str">
        <f>'[1]7.12-Comp'!L7</f>
        <v>7.12</v>
      </c>
      <c r="C141" s="464">
        <f>'[1]7.12-Comp'!E18</f>
        <v>0</v>
      </c>
      <c r="D141" s="434"/>
      <c r="E141" s="434"/>
      <c r="F141" s="434"/>
      <c r="G141" s="495"/>
      <c r="H141" s="434"/>
      <c r="I141" s="434"/>
      <c r="J141" s="499"/>
      <c r="K141" s="449">
        <f>'[1]7.12-Comp'!L18</f>
        <v>0</v>
      </c>
      <c r="L141" s="426"/>
      <c r="M141" s="431">
        <f>'[1]7.12-Comp'!L69</f>
        <v>0</v>
      </c>
      <c r="N141" s="432">
        <f>ROUND(L141*M141,2)</f>
        <v>0</v>
      </c>
    </row>
    <row r="142" spans="1:14" hidden="1" x14ac:dyDescent="0.2">
      <c r="A142" s="433"/>
      <c r="B142" s="429" t="str">
        <f>'[1]7.13-Comp'!L7</f>
        <v>7.13</v>
      </c>
      <c r="C142" s="464">
        <f>'[1]7.13-Comp'!E18</f>
        <v>0</v>
      </c>
      <c r="D142" s="434"/>
      <c r="E142" s="434"/>
      <c r="F142" s="434"/>
      <c r="G142" s="495"/>
      <c r="H142" s="434"/>
      <c r="I142" s="434"/>
      <c r="J142" s="499"/>
      <c r="K142" s="449">
        <f>'[1]7.13-Comp'!L18</f>
        <v>0</v>
      </c>
      <c r="L142" s="426"/>
      <c r="M142" s="431">
        <f>'[1]7.13-Comp'!L69</f>
        <v>0</v>
      </c>
      <c r="N142" s="432">
        <f>ROUND(L142*M142,2)</f>
        <v>0</v>
      </c>
    </row>
    <row r="143" spans="1:14" hidden="1" x14ac:dyDescent="0.2">
      <c r="A143" s="446"/>
      <c r="B143" s="451"/>
      <c r="C143" s="452"/>
      <c r="D143" s="452"/>
      <c r="E143" s="452"/>
      <c r="F143" s="452"/>
      <c r="G143" s="452"/>
      <c r="H143" s="452"/>
      <c r="I143" s="452"/>
      <c r="J143" s="452"/>
      <c r="K143" s="453"/>
      <c r="L143" s="454"/>
      <c r="M143" s="455"/>
      <c r="N143" s="456"/>
    </row>
    <row r="144" spans="1:14" x14ac:dyDescent="0.2">
      <c r="A144" s="416" t="s">
        <v>210</v>
      </c>
      <c r="B144" s="417" t="s">
        <v>213</v>
      </c>
      <c r="C144" s="417"/>
      <c r="D144" s="417"/>
      <c r="E144" s="417"/>
      <c r="F144" s="417"/>
      <c r="G144" s="417"/>
      <c r="H144" s="417"/>
      <c r="I144" s="417"/>
      <c r="J144" s="467"/>
      <c r="K144" s="418"/>
      <c r="L144" s="486"/>
      <c r="M144" s="468"/>
      <c r="N144" s="421">
        <f>SUM(N145:N154)</f>
        <v>243774.69</v>
      </c>
    </row>
    <row r="145" spans="1:14" x14ac:dyDescent="0.2">
      <c r="A145" s="422"/>
      <c r="B145" s="423" t="s">
        <v>214</v>
      </c>
      <c r="C145" s="509" t="str">
        <f>'[1]8.1-Esc.Cga.Mat.Jaz.'!E18</f>
        <v>Escavação e carga de material de jazida com escavadeira hidráulica</v>
      </c>
      <c r="D145" s="424"/>
      <c r="E145" s="424"/>
      <c r="F145" s="424"/>
      <c r="G145" s="424"/>
      <c r="H145" s="478" t="s">
        <v>215</v>
      </c>
      <c r="I145" s="1360" t="s">
        <v>216</v>
      </c>
      <c r="J145" s="1360"/>
      <c r="K145" s="510" t="str">
        <f>'[1]8.1-Esc.Cga.Mat.Jaz.'!L18</f>
        <v>m³</v>
      </c>
      <c r="L145" s="511">
        <f>IF(I145="1ª Categoria",(('[1]Nota de serviço'!E128+'[1]Nota de serviço'!E135)/2)*('[1]Nota de serviço'!E136*'[1]Nota de serviço'!P28*1000*'[1]Nota de serviço'!E137)*1,IF(I145="Solo (70%) + Brita (30%)",(('[1]Nota de serviço'!E128+'[1]Nota de serviço'!E135)/2)*('[1]Nota de serviço'!E136*'[1]Nota de serviço'!P28*1000*'[1]Nota de serviço'!E137)*1*0.77019,0))</f>
        <v>7472.25</v>
      </c>
      <c r="M145" s="491">
        <f>'[1]8.1-Esc.Cga.Mat.Jaz.'!L65</f>
        <v>1.35</v>
      </c>
      <c r="N145" s="491">
        <f>ROUND(L145*M145,2)</f>
        <v>10087.540000000001</v>
      </c>
    </row>
    <row r="146" spans="1:14" x14ac:dyDescent="0.2">
      <c r="A146" s="443"/>
      <c r="B146" s="471" t="s">
        <v>217</v>
      </c>
      <c r="C146" s="512" t="str">
        <f>'[1]8.2-Transp.LN'!E18</f>
        <v>Transporte com caminhão basculante de 10 m³ - rodovia em leito natural</v>
      </c>
      <c r="D146" s="512"/>
      <c r="E146" s="512"/>
      <c r="F146" s="512"/>
      <c r="G146" s="512"/>
      <c r="H146" s="512"/>
      <c r="I146" s="512"/>
      <c r="J146" s="513"/>
      <c r="K146" s="1354" t="str">
        <f>'[1]8.2-Transp.LN'!L18</f>
        <v>t x km</v>
      </c>
      <c r="L146" s="1355">
        <f>ROUND(L145*G147*D147*(1+J147),2)</f>
        <v>199509.08</v>
      </c>
      <c r="M146" s="1356">
        <f>'[1]8.2-Transp.LN'!L66</f>
        <v>1.02</v>
      </c>
      <c r="N146" s="1356">
        <f>ROUND(L146*M146,2)</f>
        <v>203499.26</v>
      </c>
    </row>
    <row r="147" spans="1:14" x14ac:dyDescent="0.2">
      <c r="A147" s="422"/>
      <c r="B147" s="423"/>
      <c r="C147" s="475" t="s">
        <v>187</v>
      </c>
      <c r="D147" s="476">
        <v>12</v>
      </c>
      <c r="E147" s="515"/>
      <c r="F147" s="475" t="s">
        <v>188</v>
      </c>
      <c r="G147" s="476">
        <v>1.78</v>
      </c>
      <c r="H147" s="478"/>
      <c r="I147" s="475" t="s">
        <v>189</v>
      </c>
      <c r="J147" s="479">
        <v>0.25</v>
      </c>
      <c r="K147" s="1354">
        <f>'[1]8.2-Transp.LN'!L19</f>
        <v>0</v>
      </c>
      <c r="L147" s="1355"/>
      <c r="M147" s="1356"/>
      <c r="N147" s="1356"/>
    </row>
    <row r="148" spans="1:14" hidden="1" x14ac:dyDescent="0.2">
      <c r="A148" s="443"/>
      <c r="B148" s="471" t="str">
        <f>'[1]8.3-Transp.RP'!L7</f>
        <v>8.3</v>
      </c>
      <c r="C148" s="512" t="str">
        <f>'[1]8.3-Transp.RP'!E18</f>
        <v>Transporte com caminhão basculante de 10 m³ - rodovia com revestimento primário</v>
      </c>
      <c r="D148" s="512"/>
      <c r="E148" s="512"/>
      <c r="F148" s="512"/>
      <c r="G148" s="512"/>
      <c r="H148" s="512"/>
      <c r="I148" s="512"/>
      <c r="J148" s="513"/>
      <c r="K148" s="1354" t="str">
        <f>'[1]8.3-Transp.RP'!L18</f>
        <v>t x km</v>
      </c>
      <c r="L148" s="1355">
        <f>ROUND(L145*G149*D149*(1+J149),2)</f>
        <v>0</v>
      </c>
      <c r="M148" s="1356">
        <f>'[1]8.3-Transp.RP'!L66</f>
        <v>0.81</v>
      </c>
      <c r="N148" s="1356">
        <f>ROUND(L148*M148,2)</f>
        <v>0</v>
      </c>
    </row>
    <row r="149" spans="1:14" hidden="1" x14ac:dyDescent="0.2">
      <c r="A149" s="422"/>
      <c r="B149" s="423"/>
      <c r="C149" s="475" t="s">
        <v>187</v>
      </c>
      <c r="D149" s="476">
        <v>0</v>
      </c>
      <c r="E149" s="477"/>
      <c r="F149" s="475" t="s">
        <v>188</v>
      </c>
      <c r="G149" s="476">
        <v>1.78</v>
      </c>
      <c r="H149" s="478"/>
      <c r="I149" s="475" t="s">
        <v>189</v>
      </c>
      <c r="J149" s="479">
        <v>0.25</v>
      </c>
      <c r="K149" s="1354">
        <f>'[1]8.3-Transp.RP'!L19</f>
        <v>0</v>
      </c>
      <c r="L149" s="1355"/>
      <c r="M149" s="1356"/>
      <c r="N149" s="1356"/>
    </row>
    <row r="150" spans="1:14" ht="28.5" customHeight="1" x14ac:dyDescent="0.2">
      <c r="A150" s="433"/>
      <c r="B150" s="429" t="s">
        <v>218</v>
      </c>
      <c r="C150" s="1351" t="str">
        <f>'[1]8.4-Cpct.Aterro'!E18</f>
        <v>Compactação de material de revestimento a 95 % do proctor normal (inclusos o espalhamento e a conformação da plataforma)</v>
      </c>
      <c r="D150" s="1351"/>
      <c r="E150" s="1351"/>
      <c r="F150" s="1351"/>
      <c r="G150" s="1351"/>
      <c r="H150" s="1351"/>
      <c r="I150" s="1351"/>
      <c r="J150" s="1351"/>
      <c r="K150" s="514" t="str">
        <f>'[1]8.4-Cpct.Aterro'!L18</f>
        <v>m³</v>
      </c>
      <c r="L150" s="516">
        <f>IF(I145="1ª Categoria",(('[1]Nota de serviço'!E128+'[1]Nota de serviço'!E135)/2)*('[1]Nota de serviço'!E136*'[1]Nota de serviço'!P28*1000*'[1]Nota de serviço'!E137)*1,0)</f>
        <v>7472.25</v>
      </c>
      <c r="M150" s="517">
        <f>'[1]8.4-Cpct.Aterro'!L67</f>
        <v>4.04</v>
      </c>
      <c r="N150" s="482">
        <f>ROUND(L150*M150,2)</f>
        <v>30187.89</v>
      </c>
    </row>
    <row r="151" spans="1:14" hidden="1" x14ac:dyDescent="0.2">
      <c r="A151" s="433"/>
      <c r="B151" s="429" t="str">
        <f>'[1]8.5-Solo.Brita'!L7</f>
        <v>8.5</v>
      </c>
      <c r="C151" s="1351" t="str">
        <f>'[1]8.5-Solo.Brita'!E18</f>
        <v>Base estabilizada granulometricamente com mistura solo brita (70% - 30%) na pista com material de jazida e brita comercial (inclusos o espalhamento, a conformação e a compactação da plataforma)</v>
      </c>
      <c r="D151" s="1351"/>
      <c r="E151" s="1351"/>
      <c r="F151" s="1351"/>
      <c r="G151" s="1351"/>
      <c r="H151" s="1351"/>
      <c r="I151" s="1351"/>
      <c r="J151" s="1351"/>
      <c r="K151" s="514" t="str">
        <f>'[1]8.5-Solo.Brita'!L18</f>
        <v>m³</v>
      </c>
      <c r="L151" s="516">
        <f>IF(I145="Solo (70%) + Brita (30%)",(('[1]Nota de serviço'!E128+'[1]Nota de serviço'!E135)/2)*('[1]Nota de serviço'!E136*'[1]Nota de serviço'!P28*1000*'[1]Nota de serviço'!E137),0)</f>
        <v>0</v>
      </c>
      <c r="M151" s="431">
        <f>'[1]8.5-Solo.Brita'!L66</f>
        <v>50.51</v>
      </c>
      <c r="N151" s="432">
        <f>ROUND(L151*M151,2)</f>
        <v>0</v>
      </c>
    </row>
    <row r="152" spans="1:14" hidden="1" x14ac:dyDescent="0.2">
      <c r="A152" s="433"/>
      <c r="B152" s="429" t="str">
        <f>'[1]8.6-Comp'!L7</f>
        <v>8.6</v>
      </c>
      <c r="C152" s="464">
        <f>'[1]8.6-Comp'!E18</f>
        <v>0</v>
      </c>
      <c r="D152" s="450"/>
      <c r="E152" s="450"/>
      <c r="F152" s="450"/>
      <c r="G152" s="450"/>
      <c r="H152" s="518"/>
      <c r="I152" s="434"/>
      <c r="J152" s="500"/>
      <c r="K152" s="449">
        <f>'[1]8.6-Comp'!L18</f>
        <v>0</v>
      </c>
      <c r="L152" s="426"/>
      <c r="M152" s="431">
        <f>'[1]8.6-Comp'!L69</f>
        <v>0</v>
      </c>
      <c r="N152" s="432">
        <f>ROUND(L152*M152,2)</f>
        <v>0</v>
      </c>
    </row>
    <row r="153" spans="1:14" hidden="1" x14ac:dyDescent="0.2">
      <c r="A153" s="433"/>
      <c r="B153" s="429" t="str">
        <f>'[1]8.7-Comp'!L7</f>
        <v>8.7</v>
      </c>
      <c r="C153" s="464">
        <f>'[1]8.7-Comp'!E18</f>
        <v>0</v>
      </c>
      <c r="D153" s="450"/>
      <c r="E153" s="450"/>
      <c r="F153" s="450"/>
      <c r="G153" s="450"/>
      <c r="H153" s="518"/>
      <c r="I153" s="434"/>
      <c r="J153" s="500"/>
      <c r="K153" s="449">
        <f>'[1]8.7-Comp'!L18</f>
        <v>0</v>
      </c>
      <c r="L153" s="426"/>
      <c r="M153" s="431">
        <f>'[1]8.7-Comp'!L69</f>
        <v>0</v>
      </c>
      <c r="N153" s="432">
        <f>ROUND(L153*M153,2)</f>
        <v>0</v>
      </c>
    </row>
    <row r="154" spans="1:14" ht="12.75" customHeight="1" x14ac:dyDescent="0.2">
      <c r="A154" s="446"/>
      <c r="B154" s="451"/>
      <c r="C154" s="452"/>
      <c r="D154" s="452"/>
      <c r="E154" s="452"/>
      <c r="F154" s="452"/>
      <c r="G154" s="452"/>
      <c r="H154" s="452"/>
      <c r="I154" s="452"/>
      <c r="J154" s="452"/>
      <c r="K154" s="453"/>
      <c r="L154" s="454"/>
      <c r="M154" s="455"/>
      <c r="N154" s="456"/>
    </row>
    <row r="155" spans="1:14" x14ac:dyDescent="0.2">
      <c r="A155" s="416" t="s">
        <v>219</v>
      </c>
      <c r="B155" s="417" t="s">
        <v>220</v>
      </c>
      <c r="C155" s="417"/>
      <c r="D155" s="417"/>
      <c r="E155" s="417"/>
      <c r="F155" s="417"/>
      <c r="G155" s="417"/>
      <c r="H155" s="417"/>
      <c r="I155" s="417"/>
      <c r="J155" s="467"/>
      <c r="K155" s="418"/>
      <c r="L155" s="486"/>
      <c r="M155" s="468"/>
      <c r="N155" s="421">
        <f>SUM(N156:N162)</f>
        <v>16100</v>
      </c>
    </row>
    <row r="156" spans="1:14" x14ac:dyDescent="0.2">
      <c r="A156" s="422"/>
      <c r="B156" s="423" t="s">
        <v>221</v>
      </c>
      <c r="C156" s="519" t="str">
        <f>'[1]9.1-Preenc.Mat.Org.Fx.Domínio'!E18</f>
        <v>Prenchimento da jazida com material orgânico proveniente do seu decapeamento</v>
      </c>
      <c r="D156" s="519"/>
      <c r="E156" s="519"/>
      <c r="F156" s="519"/>
      <c r="G156" s="519"/>
      <c r="H156" s="519"/>
      <c r="I156" s="519"/>
      <c r="J156" s="520"/>
      <c r="K156" s="425" t="str">
        <f>'[1]9.1-Preenc.Mat.Org.Fx.Domínio'!L18</f>
        <v>m³</v>
      </c>
      <c r="L156" s="516">
        <f>L72</f>
        <v>2000</v>
      </c>
      <c r="M156" s="462">
        <f>'[1]9.1-Preenc.Mat.Org.Fx.Domínio'!L66</f>
        <v>0.45</v>
      </c>
      <c r="N156" s="428">
        <f>ROUND(L156*M156,2)</f>
        <v>900</v>
      </c>
    </row>
    <row r="157" spans="1:14" x14ac:dyDescent="0.2">
      <c r="A157" s="433"/>
      <c r="B157" s="429" t="s">
        <v>222</v>
      </c>
      <c r="C157" s="424" t="str">
        <f>'[1]9.2-Semeadura manual'!E18</f>
        <v>Semeadura manual (pó calcário, adubos NPK, orgânico, potássio, fósforo enxofre e sementes)</v>
      </c>
      <c r="D157" s="424"/>
      <c r="E157" s="424"/>
      <c r="F157" s="424"/>
      <c r="G157" s="424"/>
      <c r="H157" s="424"/>
      <c r="I157" s="424"/>
      <c r="J157" s="424"/>
      <c r="K157" s="430" t="str">
        <f>'[1]9.2-Semeadura manual'!L18</f>
        <v>m²</v>
      </c>
      <c r="L157" s="516">
        <f>ROUND('[1]Plan. de campo'!E36,2)</f>
        <v>10000</v>
      </c>
      <c r="M157" s="431">
        <f>'[1]9.2-Semeadura manual'!L74</f>
        <v>1.52</v>
      </c>
      <c r="N157" s="432">
        <f>L157*M157</f>
        <v>15200</v>
      </c>
    </row>
    <row r="158" spans="1:14" hidden="1" x14ac:dyDescent="0.2">
      <c r="A158" s="433"/>
      <c r="B158" s="429" t="str">
        <f>'[1]9.3-Comp'!L7</f>
        <v>9.3</v>
      </c>
      <c r="C158" s="464">
        <f>'[1]9.3-Comp'!E18</f>
        <v>0</v>
      </c>
      <c r="D158" s="450"/>
      <c r="E158" s="450"/>
      <c r="F158" s="450"/>
      <c r="G158" s="450"/>
      <c r="H158" s="450"/>
      <c r="I158" s="450"/>
      <c r="J158" s="499"/>
      <c r="K158" s="508">
        <f>'[1]9.3-Comp'!L18</f>
        <v>0</v>
      </c>
      <c r="L158" s="426"/>
      <c r="M158" s="431">
        <f>'[1]9.3-Comp'!L69</f>
        <v>0</v>
      </c>
      <c r="N158" s="432">
        <f>ROUND(L158*M158,2)</f>
        <v>0</v>
      </c>
    </row>
    <row r="159" spans="1:14" hidden="1" x14ac:dyDescent="0.2">
      <c r="A159" s="433"/>
      <c r="B159" s="429" t="str">
        <f>'[1]9.4-Comp'!L7</f>
        <v>9.4</v>
      </c>
      <c r="C159" s="464">
        <f>'[1]9.4-Comp'!E18</f>
        <v>0</v>
      </c>
      <c r="D159" s="450"/>
      <c r="E159" s="450"/>
      <c r="F159" s="450"/>
      <c r="G159" s="450"/>
      <c r="H159" s="450"/>
      <c r="I159" s="450"/>
      <c r="J159" s="499"/>
      <c r="K159" s="508">
        <f>'[1]9.4-Comp'!L18</f>
        <v>0</v>
      </c>
      <c r="L159" s="426"/>
      <c r="M159" s="431">
        <f>'[1]9.4-Comp'!L69</f>
        <v>0</v>
      </c>
      <c r="N159" s="432">
        <f>ROUND(L159*M159,2)</f>
        <v>0</v>
      </c>
    </row>
    <row r="160" spans="1:14" hidden="1" x14ac:dyDescent="0.2">
      <c r="A160" s="433"/>
      <c r="B160" s="429" t="str">
        <f>'[1]9.5-Comp'!L7</f>
        <v>9.5</v>
      </c>
      <c r="C160" s="464">
        <f>'[1]9.5-Comp'!E18</f>
        <v>0</v>
      </c>
      <c r="D160" s="450"/>
      <c r="E160" s="450"/>
      <c r="F160" s="450"/>
      <c r="G160" s="450"/>
      <c r="H160" s="450"/>
      <c r="I160" s="450"/>
      <c r="J160" s="499"/>
      <c r="K160" s="508">
        <f>'[1]9.5-Comp'!L18</f>
        <v>0</v>
      </c>
      <c r="L160" s="426"/>
      <c r="M160" s="431">
        <f>'[1]9.5-Comp'!L69</f>
        <v>0</v>
      </c>
      <c r="N160" s="432">
        <f>ROUND(L160*M160,2)</f>
        <v>0</v>
      </c>
    </row>
    <row r="161" spans="1:14" hidden="1" x14ac:dyDescent="0.2">
      <c r="A161" s="521"/>
      <c r="B161" s="522"/>
      <c r="C161" s="523"/>
      <c r="D161" s="524"/>
      <c r="E161" s="524"/>
      <c r="F161" s="524"/>
      <c r="G161" s="524"/>
      <c r="H161" s="524"/>
      <c r="I161" s="524"/>
      <c r="J161" s="525"/>
      <c r="K161" s="526"/>
      <c r="L161" s="527"/>
      <c r="M161" s="528"/>
      <c r="N161" s="529"/>
    </row>
    <row r="162" spans="1:14" ht="12.75" customHeight="1" x14ac:dyDescent="0.2">
      <c r="A162" s="530"/>
      <c r="B162" s="531"/>
      <c r="C162" s="531"/>
      <c r="D162" s="531"/>
      <c r="E162" s="531"/>
      <c r="F162" s="531"/>
      <c r="G162" s="531"/>
      <c r="H162" s="531"/>
      <c r="I162" s="531"/>
      <c r="J162" s="531"/>
      <c r="K162" s="530"/>
      <c r="L162" s="532"/>
      <c r="M162" s="532"/>
      <c r="N162" s="533"/>
    </row>
    <row r="163" spans="1:14" x14ac:dyDescent="0.2">
      <c r="A163" s="1352" t="s">
        <v>223</v>
      </c>
      <c r="B163" s="1352"/>
      <c r="C163" s="1352"/>
      <c r="D163" s="1352"/>
      <c r="E163" s="1352"/>
      <c r="F163" s="1352"/>
      <c r="G163" s="1352"/>
      <c r="H163" s="1352"/>
      <c r="I163" s="1352"/>
      <c r="J163" s="1352"/>
      <c r="K163" s="1352"/>
      <c r="L163" s="1352"/>
      <c r="M163" s="1352"/>
      <c r="N163" s="534">
        <f>N15+N22+N38+N42+N52+N81+N125+N144+N155</f>
        <v>1007489.5367999999</v>
      </c>
    </row>
    <row r="164" spans="1:14" x14ac:dyDescent="0.2">
      <c r="A164" s="535"/>
      <c r="B164" s="109"/>
      <c r="C164" s="535"/>
      <c r="D164" s="535"/>
      <c r="E164" s="535"/>
      <c r="F164" s="535"/>
      <c r="G164" s="535"/>
      <c r="H164" s="535"/>
      <c r="I164" s="535"/>
      <c r="J164" s="535"/>
      <c r="K164" s="535"/>
      <c r="L164" s="535"/>
      <c r="M164" s="535"/>
      <c r="N164" s="536"/>
    </row>
    <row r="165" spans="1:14" x14ac:dyDescent="0.2">
      <c r="A165" s="1353" t="s">
        <v>224</v>
      </c>
      <c r="B165" s="1353"/>
      <c r="C165" s="1353"/>
      <c r="D165" s="1353"/>
      <c r="E165" s="1353"/>
      <c r="F165" s="1353"/>
      <c r="G165" s="1353"/>
      <c r="H165" s="1353"/>
      <c r="I165" s="1353"/>
      <c r="J165" s="1353"/>
      <c r="K165" s="1353"/>
      <c r="L165" s="1353"/>
      <c r="M165" s="1353"/>
      <c r="N165" s="534">
        <f>ROUND(N163/('[1]Nota de serviço'!P28),2)</f>
        <v>82920.95</v>
      </c>
    </row>
    <row r="166" spans="1:14" x14ac:dyDescent="0.2">
      <c r="A166" s="537"/>
      <c r="B166" s="538"/>
      <c r="C166" s="539"/>
      <c r="D166" s="539"/>
      <c r="E166" s="539"/>
      <c r="F166" s="539"/>
      <c r="G166" s="539"/>
      <c r="H166" s="539"/>
      <c r="I166" s="539"/>
      <c r="J166" s="539"/>
      <c r="K166" s="539"/>
      <c r="L166" s="539"/>
      <c r="M166" s="539"/>
      <c r="N166" s="540"/>
    </row>
    <row r="167" spans="1:14" ht="27" customHeight="1" x14ac:dyDescent="0.2">
      <c r="A167" s="541" t="s">
        <v>225</v>
      </c>
      <c r="B167" s="542"/>
      <c r="C167" s="1350" t="s">
        <v>226</v>
      </c>
      <c r="D167" s="1350"/>
      <c r="E167" s="1350"/>
      <c r="F167" s="1350"/>
      <c r="G167" s="1350"/>
      <c r="H167" s="1350"/>
      <c r="I167" s="1350"/>
      <c r="J167" s="1350"/>
      <c r="K167" s="1350"/>
      <c r="L167" s="1350"/>
      <c r="M167" s="1350"/>
      <c r="N167" s="1350"/>
    </row>
    <row r="168" spans="1:14" ht="35.25" hidden="1" customHeight="1" x14ac:dyDescent="0.2">
      <c r="A168" s="541"/>
      <c r="B168" s="542"/>
      <c r="C168" s="1350" t="s">
        <v>227</v>
      </c>
      <c r="D168" s="1350"/>
      <c r="E168" s="1350"/>
      <c r="F168" s="1350"/>
      <c r="G168" s="1350"/>
      <c r="H168" s="1350"/>
      <c r="I168" s="1350"/>
      <c r="J168" s="1350"/>
      <c r="K168" s="1350"/>
      <c r="L168" s="1350"/>
      <c r="M168" s="1350"/>
      <c r="N168" s="1350"/>
    </row>
    <row r="169" spans="1:14" ht="21" hidden="1" customHeight="1" x14ac:dyDescent="0.2">
      <c r="A169" s="543"/>
      <c r="B169" s="542"/>
      <c r="C169" s="1350" t="s">
        <v>228</v>
      </c>
      <c r="D169" s="1350"/>
      <c r="E169" s="1350"/>
      <c r="F169" s="1350"/>
      <c r="G169" s="1350"/>
      <c r="H169" s="1350"/>
      <c r="I169" s="1350"/>
      <c r="J169" s="1350"/>
      <c r="K169" s="1350"/>
      <c r="L169" s="1350"/>
      <c r="M169" s="1350"/>
      <c r="N169" s="1350"/>
    </row>
    <row r="170" spans="1:14" ht="26.25" hidden="1" customHeight="1" x14ac:dyDescent="0.2">
      <c r="A170" s="543"/>
      <c r="B170" s="542"/>
      <c r="C170" s="1350" t="s">
        <v>229</v>
      </c>
      <c r="D170" s="1350"/>
      <c r="E170" s="1350"/>
      <c r="F170" s="1350"/>
      <c r="G170" s="1350"/>
      <c r="H170" s="1350"/>
      <c r="I170" s="1350"/>
      <c r="J170" s="1350"/>
      <c r="K170" s="1350"/>
      <c r="L170" s="1350"/>
      <c r="M170" s="1350"/>
      <c r="N170" s="1350"/>
    </row>
    <row r="171" spans="1:14" ht="29.25" customHeight="1" x14ac:dyDescent="0.2">
      <c r="A171" s="543"/>
      <c r="B171" s="542"/>
      <c r="C171" s="1350" t="s">
        <v>230</v>
      </c>
      <c r="D171" s="1350"/>
      <c r="E171" s="1350"/>
      <c r="F171" s="1350"/>
      <c r="G171" s="1350"/>
      <c r="H171" s="1350"/>
      <c r="I171" s="1350"/>
      <c r="J171" s="1350"/>
      <c r="K171" s="1350"/>
      <c r="L171" s="1350"/>
      <c r="M171" s="1350"/>
      <c r="N171" s="1350"/>
    </row>
    <row r="172" spans="1:14" ht="30.75" customHeight="1" x14ac:dyDescent="0.2">
      <c r="A172" s="543"/>
      <c r="B172" s="542"/>
      <c r="C172" s="1350" t="s">
        <v>231</v>
      </c>
      <c r="D172" s="1350"/>
      <c r="E172" s="1350"/>
      <c r="F172" s="1350"/>
      <c r="G172" s="1350"/>
      <c r="H172" s="1350"/>
      <c r="I172" s="1350"/>
      <c r="J172" s="1350"/>
      <c r="K172" s="1350"/>
      <c r="L172" s="1350"/>
      <c r="M172" s="1350"/>
      <c r="N172" s="1350"/>
    </row>
    <row r="173" spans="1:14" x14ac:dyDescent="0.2">
      <c r="A173" s="535"/>
      <c r="B173" s="1346"/>
      <c r="C173" s="1346"/>
      <c r="D173" s="1346"/>
      <c r="E173" s="1346"/>
      <c r="F173" s="1346"/>
      <c r="G173" s="1346"/>
      <c r="H173" s="1346"/>
      <c r="I173" s="1346"/>
      <c r="J173" s="544" t="s">
        <v>216</v>
      </c>
      <c r="K173" s="545"/>
      <c r="L173" s="546" t="s">
        <v>232</v>
      </c>
      <c r="M173" s="547"/>
      <c r="N173" s="546">
        <f>(N18+N19)+N42+N52+N81+N125+N144+N155</f>
        <v>854454.39679999999</v>
      </c>
    </row>
    <row r="174" spans="1:14" x14ac:dyDescent="0.2">
      <c r="A174" s="548"/>
      <c r="B174" s="548"/>
      <c r="C174" s="549"/>
      <c r="D174" s="548"/>
      <c r="E174" s="548"/>
      <c r="F174" s="550"/>
      <c r="G174" s="548"/>
      <c r="H174" s="548"/>
      <c r="I174" s="548"/>
      <c r="J174" s="548"/>
      <c r="K174" s="551"/>
      <c r="L174" s="548"/>
      <c r="M174" s="548"/>
      <c r="N174" s="548"/>
    </row>
    <row r="175" spans="1:14" x14ac:dyDescent="0.2">
      <c r="A175" s="548"/>
      <c r="B175" s="548"/>
      <c r="C175" s="549"/>
      <c r="D175" s="548"/>
      <c r="E175" s="548"/>
      <c r="F175" s="548"/>
      <c r="G175" s="548"/>
      <c r="H175" s="548"/>
      <c r="I175" s="1347"/>
      <c r="J175" s="1347"/>
      <c r="K175" s="1347"/>
      <c r="L175" s="1347"/>
      <c r="M175" s="548"/>
      <c r="N175" s="548"/>
    </row>
    <row r="176" spans="1:14" x14ac:dyDescent="0.2">
      <c r="A176" s="548"/>
      <c r="B176" s="548"/>
      <c r="C176" s="548"/>
      <c r="D176" s="548"/>
      <c r="E176" s="548"/>
      <c r="F176" s="548"/>
      <c r="G176" s="548"/>
      <c r="H176" s="548"/>
      <c r="I176" s="1348"/>
      <c r="J176" s="1348"/>
      <c r="K176" s="1348"/>
      <c r="L176" s="1348"/>
      <c r="M176" s="548"/>
      <c r="N176" s="548"/>
    </row>
    <row r="177" spans="1:14" x14ac:dyDescent="0.2">
      <c r="A177" s="548"/>
      <c r="B177" s="548"/>
      <c r="C177" s="548"/>
      <c r="D177" s="548"/>
      <c r="E177" s="548"/>
      <c r="F177" s="548"/>
      <c r="G177" s="548"/>
      <c r="H177" s="548"/>
      <c r="I177" s="1349"/>
      <c r="J177" s="1349"/>
      <c r="K177" s="1349"/>
      <c r="L177" s="1349"/>
      <c r="M177" s="548"/>
      <c r="N177" s="548"/>
    </row>
    <row r="178" spans="1:14" x14ac:dyDescent="0.2">
      <c r="I178" s="1307"/>
      <c r="J178" s="1307"/>
      <c r="K178" s="1308"/>
      <c r="L178" s="1307"/>
    </row>
  </sheetData>
  <mergeCells count="73">
    <mergeCell ref="E1:N1"/>
    <mergeCell ref="E3:N3"/>
    <mergeCell ref="E5:N5"/>
    <mergeCell ref="E6:N6"/>
    <mergeCell ref="A8:D8"/>
    <mergeCell ref="A9:D9"/>
    <mergeCell ref="A10:D10"/>
    <mergeCell ref="A13:J13"/>
    <mergeCell ref="C23:J23"/>
    <mergeCell ref="C24:J24"/>
    <mergeCell ref="B25:B28"/>
    <mergeCell ref="C25:G28"/>
    <mergeCell ref="H25:I25"/>
    <mergeCell ref="H26:I26"/>
    <mergeCell ref="H27:I27"/>
    <mergeCell ref="H28:I28"/>
    <mergeCell ref="C54:J54"/>
    <mergeCell ref="C55:J55"/>
    <mergeCell ref="C56:J56"/>
    <mergeCell ref="C57:J57"/>
    <mergeCell ref="C58:J58"/>
    <mergeCell ref="C60:J60"/>
    <mergeCell ref="K63:K64"/>
    <mergeCell ref="L63:L64"/>
    <mergeCell ref="M63:M64"/>
    <mergeCell ref="N63:N64"/>
    <mergeCell ref="K65:K66"/>
    <mergeCell ref="L65:L66"/>
    <mergeCell ref="M65:M66"/>
    <mergeCell ref="N65:N66"/>
    <mergeCell ref="K82:N82"/>
    <mergeCell ref="C126:J126"/>
    <mergeCell ref="C127:J127"/>
    <mergeCell ref="C128:J128"/>
    <mergeCell ref="C130:J130"/>
    <mergeCell ref="C131:J131"/>
    <mergeCell ref="A132:A134"/>
    <mergeCell ref="B132:B134"/>
    <mergeCell ref="C132:F134"/>
    <mergeCell ref="C135:J135"/>
    <mergeCell ref="C136:J136"/>
    <mergeCell ref="A137:A139"/>
    <mergeCell ref="B137:B139"/>
    <mergeCell ref="C137:D139"/>
    <mergeCell ref="E137:J137"/>
    <mergeCell ref="K137:K139"/>
    <mergeCell ref="M137:M139"/>
    <mergeCell ref="N137:N139"/>
    <mergeCell ref="E138:J138"/>
    <mergeCell ref="E139:J139"/>
    <mergeCell ref="I145:J145"/>
    <mergeCell ref="K146:K147"/>
    <mergeCell ref="L146:L147"/>
    <mergeCell ref="M146:M147"/>
    <mergeCell ref="N146:N147"/>
    <mergeCell ref="K148:K149"/>
    <mergeCell ref="L148:L149"/>
    <mergeCell ref="M148:M149"/>
    <mergeCell ref="N148:N149"/>
    <mergeCell ref="C150:J150"/>
    <mergeCell ref="C151:J151"/>
    <mergeCell ref="A163:M163"/>
    <mergeCell ref="A165:M165"/>
    <mergeCell ref="C167:N167"/>
    <mergeCell ref="B173:I173"/>
    <mergeCell ref="I175:L175"/>
    <mergeCell ref="I176:L176"/>
    <mergeCell ref="I177:L177"/>
    <mergeCell ref="C168:N168"/>
    <mergeCell ref="C169:N169"/>
    <mergeCell ref="C170:N170"/>
    <mergeCell ref="C171:N171"/>
    <mergeCell ref="C172:N172"/>
  </mergeCells>
  <dataValidations count="6">
    <dataValidation allowBlank="1" showInputMessage="1" showErrorMessage="1" prompt="Clique duas vezes sobre a descrição para ser direcionado à respectiva composição." sqref="C16:C19 C23:J24 C25:G28 C29:C33 C43:C47 C53:C59 D54:J58 C60:J60 C61:C63 C65 C67:C75 C83:C100 C119:C120 C126:J128 C129:C139 D130:J131 D132:F134 D135:J136 D137:D139 C145:C146 C148 C150:J151 C156:C157" xr:uid="{00000000-0002-0000-0200-000000000000}">
      <formula1>0</formula1>
      <formula2>0</formula2>
    </dataValidation>
    <dataValidation type="list" showInputMessage="1" showErrorMessage="1" prompt="Pedra - Alvenaria de pedra argamassada_x000a__x000a_Concreto - Concreto ciclópico" sqref="K82:N82" xr:uid="{00000000-0002-0000-0200-000001000000}">
      <formula1>$P$19:$P$22</formula1>
      <formula2>0</formula2>
    </dataValidation>
    <dataValidation allowBlank="1" showInputMessage="1" showErrorMessage="1" prompt="A quantidade deve estar vinculada ao cronograma de execução da obra._x000a_Preencher taxas na aba &quot;1.2 - Canteiro&quot;, nas células I 51 a I 55." sqref="D17:J17 E18:J18 C39:J40" xr:uid="{00000000-0002-0000-0200-000002000000}">
      <formula1>0</formula1>
      <formula2>0</formula2>
    </dataValidation>
    <dataValidation type="decimal" operator="greaterThanOrEqual" showErrorMessage="1" error="ESTE NÚMERO DEVE SER INTEIRO!" sqref="L16:L20 L23:L36 L39:L40 L43:L50 L53:L79 L83:L123 L126:L142 L145:L153 L156:L161" xr:uid="{00000000-0002-0000-0200-000003000000}">
      <formula1>0</formula1>
      <formula2>0</formula2>
    </dataValidation>
    <dataValidation type="whole" operator="greaterThan" allowBlank="1" showErrorMessage="1" error="ESTE NÚMERO DEVE SER INTEIRO!" sqref="L41:L42 L51:L52 L80:L81 L124:L125 L143:L144 L154:L155" xr:uid="{00000000-0002-0000-0200-000004000000}">
      <formula1>0</formula1>
      <formula2>0</formula2>
    </dataValidation>
    <dataValidation type="list" allowBlank="1" showInputMessage="1" showErrorMessage="1" prompt="Selecionar tipo de material._x000a_Se for estabilização química do solo, deverá ser feita a composição analítica da estabilização na planilha 8.6-Comp." sqref="I145:J145" xr:uid="{00000000-0002-0000-0200-000005000000}">
      <formula1>$J$173:$M$173</formula1>
      <formula2>0</formula2>
    </dataValidation>
  </dataValidations>
  <hyperlinks>
    <hyperlink ref="I101" location="6.19-Bca.BSTC-40!E18" display="Conc. Ciclop." xr:uid="{00000000-0004-0000-0200-000000000000}"/>
    <hyperlink ref="J101" location="6.19-Bca.Ped.BSTC-40!E18" display="Pedra Arg." xr:uid="{00000000-0004-0000-0200-000001000000}"/>
    <hyperlink ref="I102" location="6.20-Bca.BSTC-60!E18" display="Conc. Ciclop." xr:uid="{00000000-0004-0000-0200-000002000000}"/>
    <hyperlink ref="J102" location="6.20-Bca.Ped.BSTC-60!E18" display="Pedra Arg." xr:uid="{00000000-0004-0000-0200-000003000000}"/>
    <hyperlink ref="I103" location="6.21-Bca.BSTC-80!E18" display="Conc. Ciclop." xr:uid="{00000000-0004-0000-0200-000004000000}"/>
    <hyperlink ref="J103" location="6.21-Bca.Ped.BSTC-80!E18" display="Pedra Arg." xr:uid="{00000000-0004-0000-0200-000005000000}"/>
    <hyperlink ref="I104" location="6.22-Bca.BSTC-100!E18" display="Conc. Ciclop." xr:uid="{00000000-0004-0000-0200-000006000000}"/>
    <hyperlink ref="J104" location="6.22-Bca.Ped.BSTC-100!E18" display="Pedra Arg." xr:uid="{00000000-0004-0000-0200-000007000000}"/>
    <hyperlink ref="I105" location="6.23-Bca.BSTC-120!E18" display="Conc. Ciclop." xr:uid="{00000000-0004-0000-0200-000008000000}"/>
    <hyperlink ref="J105" location="6.23-Bca.Ped.BSTC-120!E18" display="Pedra Arg." xr:uid="{00000000-0004-0000-0200-000009000000}"/>
    <hyperlink ref="I106" location="6.24-Bca.BSTC-150!E18" display="Conc. Ciclop." xr:uid="{00000000-0004-0000-0200-00000A000000}"/>
    <hyperlink ref="J106" location="6.24-Bca.Ped.BSTC-150!E18" display="Pedra Arg." xr:uid="{00000000-0004-0000-0200-00000B000000}"/>
    <hyperlink ref="I107" location="6.25-Bca.BDTC-40!E18" display="Conc. Ciclop." xr:uid="{00000000-0004-0000-0200-00000C000000}"/>
    <hyperlink ref="J107" location="6.25-Bca.Ped.BDTC-40!E18" display="Pedra Arg." xr:uid="{00000000-0004-0000-0200-00000D000000}"/>
    <hyperlink ref="I108" location="6.26-Bca.BDTC-60!E18" display="Conc. Ciclop." xr:uid="{00000000-0004-0000-0200-00000E000000}"/>
    <hyperlink ref="J108" location="6.26-Bca.Ped.BDTC-60!E18" display="Pedra Arg." xr:uid="{00000000-0004-0000-0200-00000F000000}"/>
    <hyperlink ref="I109" location="6.27-Bca.BDTC-80!E18" display="Conc. Ciclop." xr:uid="{00000000-0004-0000-0200-000010000000}"/>
    <hyperlink ref="J109" location="6.27-Bca.Ped.BDTC-80!E18" display="Pedra Arg." xr:uid="{00000000-0004-0000-0200-000011000000}"/>
    <hyperlink ref="I110" location="6.28-Bca.BDTC-100!E18" display="Conc. Ciclop." xr:uid="{00000000-0004-0000-0200-000012000000}"/>
    <hyperlink ref="J110" location="6.28-Bca.Ped.BDTC-100!E18" display="Pedra Arg." xr:uid="{00000000-0004-0000-0200-000013000000}"/>
    <hyperlink ref="I111" location="6.29-Bca.BDTC-120!E18" display="Conc. Ciclop." xr:uid="{00000000-0004-0000-0200-000014000000}"/>
    <hyperlink ref="J111" location="6.29-Bca.Ped.BDTC-120!E18" display="Pedra Arg." xr:uid="{00000000-0004-0000-0200-000015000000}"/>
    <hyperlink ref="I112" location="6.30-Bca.Ped.BDTC-150!E18" display="Conc. Ciclop." xr:uid="{00000000-0004-0000-0200-000016000000}"/>
    <hyperlink ref="J112" location="6.30-Bca.Ped.BDTC-150!E18" display="Pedra Arg." xr:uid="{00000000-0004-0000-0200-000017000000}"/>
    <hyperlink ref="I113" location="6.31-Bca.BTTC-40!E18" display="Conc. Ciclop." xr:uid="{00000000-0004-0000-0200-000018000000}"/>
    <hyperlink ref="J113" location="6.31-Bca.Ped.BTTC-40!E18" display="Pedra Arg." xr:uid="{00000000-0004-0000-0200-000019000000}"/>
    <hyperlink ref="I114" location="6.32-Bca.BTTC-60!E18" display="Conc. Ciclop." xr:uid="{00000000-0004-0000-0200-00001A000000}"/>
    <hyperlink ref="J114" location="6.32-Bca.Ped.BTTC-60!E18" display="Pedra Arg." xr:uid="{00000000-0004-0000-0200-00001B000000}"/>
    <hyperlink ref="I115" location="6.33-Bca.BTTC-80!E18" display="Conc. Ciclop." xr:uid="{00000000-0004-0000-0200-00001C000000}"/>
    <hyperlink ref="J115" location="6.33-Bca.Ped.BTTC-80!E18" display="Pedra Arg." xr:uid="{00000000-0004-0000-0200-00001D000000}"/>
    <hyperlink ref="I116" location="6.34-Bca.BTTC-100!E18" display="Conc. Ciclop." xr:uid="{00000000-0004-0000-0200-00001E000000}"/>
    <hyperlink ref="J116" location="6.34-Bca.Ped.BTTC-100!E18" display="Pedra Arg." xr:uid="{00000000-0004-0000-0200-00001F000000}"/>
    <hyperlink ref="I117" location="6.35-Bca.BTTC-120!E18" display="Conc. Ciclop." xr:uid="{00000000-0004-0000-0200-000020000000}"/>
    <hyperlink ref="J117" location="6.35-Bca.Ped.BTTC-120!E18" display="Pedra Arg." xr:uid="{00000000-0004-0000-0200-000021000000}"/>
    <hyperlink ref="I118" location="6.36-Bca.BTTC-150!E18" display="Conc. Ciclop." xr:uid="{00000000-0004-0000-0200-000022000000}"/>
    <hyperlink ref="J118" location="6.36-Bca.Ped.BTTC-150!E18" display="Pedra Arg." xr:uid="{00000000-0004-0000-0200-000023000000}"/>
  </hyperlinks>
  <pageMargins left="0.51180555555555496" right="0.51180555555555496" top="0.196527777777778" bottom="0.196527777777778" header="0.51180555555555496" footer="0.51180555555555496"/>
  <pageSetup paperSize="9" scale="85" firstPageNumber="0" orientation="landscape" horizontalDpi="300" verticalDpi="3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L70"/>
  <sheetViews>
    <sheetView topLeftCell="A43" zoomScale="83" zoomScaleNormal="83" workbookViewId="0">
      <selection activeCell="P139" sqref="P139"/>
    </sheetView>
  </sheetViews>
  <sheetFormatPr defaultRowHeight="15" x14ac:dyDescent="0.2"/>
  <cols>
    <col min="1" max="2" width="7.6640625" style="902" customWidth="1"/>
    <col min="3" max="3" width="1.4765625" style="902" customWidth="1"/>
    <col min="4" max="4" width="3.765625" style="902" customWidth="1"/>
    <col min="5" max="5" width="23.67578125" style="902" customWidth="1"/>
    <col min="6" max="6" width="12.64453125" style="902" customWidth="1"/>
    <col min="7" max="7" width="8.7421875" style="902" customWidth="1"/>
    <col min="8" max="8" width="9.55078125" style="902" customWidth="1"/>
    <col min="9" max="11" width="8.7421875" style="902" customWidth="1"/>
    <col min="12" max="12" width="10.76171875" style="902" customWidth="1"/>
    <col min="13" max="1025" width="8.7421875" customWidth="1"/>
  </cols>
  <sheetData>
    <row r="1" spans="1:12" x14ac:dyDescent="0.2">
      <c r="A1" s="1474"/>
      <c r="B1" s="1474"/>
      <c r="C1" s="1474"/>
      <c r="D1" s="1474"/>
      <c r="E1" s="1474"/>
      <c r="F1" s="1474"/>
      <c r="G1" s="1474"/>
      <c r="H1" s="1474"/>
      <c r="I1" s="1474"/>
      <c r="J1" s="1474"/>
      <c r="K1" s="1474"/>
      <c r="L1" s="1474"/>
    </row>
    <row r="2" spans="1:12" x14ac:dyDescent="0.2">
      <c r="A2" s="1475" t="s">
        <v>629</v>
      </c>
      <c r="B2" s="1475"/>
      <c r="C2" s="1475"/>
      <c r="D2" s="1475"/>
      <c r="E2" s="1475"/>
      <c r="F2" s="1475"/>
      <c r="G2" s="1475"/>
      <c r="H2" s="1475"/>
      <c r="I2" s="1475"/>
      <c r="J2" s="1475"/>
      <c r="K2" s="1475"/>
      <c r="L2" s="1475"/>
    </row>
    <row r="3" spans="1:12" x14ac:dyDescent="0.2">
      <c r="A3" s="1474"/>
      <c r="B3" s="1474"/>
      <c r="C3" s="1474"/>
      <c r="D3" s="1474"/>
      <c r="E3" s="1474"/>
      <c r="F3" s="1474"/>
      <c r="G3" s="1474"/>
      <c r="H3" s="1474"/>
      <c r="I3" s="1474"/>
      <c r="J3" s="1474"/>
      <c r="K3" s="1474"/>
      <c r="L3" s="1474"/>
    </row>
    <row r="4" spans="1:12" x14ac:dyDescent="0.2">
      <c r="A4" s="1476"/>
      <c r="B4" s="1476"/>
      <c r="C4" s="1476"/>
      <c r="D4" s="1476"/>
      <c r="E4" s="1476"/>
      <c r="F4" s="1476"/>
      <c r="G4" s="1476"/>
      <c r="H4" s="1476"/>
      <c r="I4" s="1476"/>
      <c r="J4" s="1476"/>
      <c r="K4" s="1476"/>
      <c r="L4" s="1476"/>
    </row>
    <row r="5" spans="1:12" x14ac:dyDescent="0.2">
      <c r="A5" s="1477"/>
      <c r="B5" s="1477"/>
      <c r="C5" s="1477"/>
      <c r="D5" s="1477"/>
      <c r="E5" s="1477"/>
      <c r="F5" s="1477"/>
      <c r="G5" s="1477"/>
      <c r="H5" s="1477"/>
      <c r="I5" s="1477"/>
      <c r="J5" s="1477"/>
      <c r="K5" s="1477"/>
      <c r="L5" s="903" t="s">
        <v>419</v>
      </c>
    </row>
    <row r="6" spans="1:12" x14ac:dyDescent="0.2">
      <c r="A6" s="1469"/>
      <c r="B6" s="1469"/>
      <c r="C6" s="1469"/>
      <c r="D6" s="1469"/>
      <c r="E6" s="1469"/>
      <c r="F6" s="1469"/>
      <c r="G6" s="1469"/>
      <c r="H6" s="1469"/>
      <c r="I6" s="1469"/>
      <c r="J6" s="1469"/>
      <c r="K6" s="1469"/>
      <c r="L6" s="1075"/>
    </row>
    <row r="7" spans="1:12" ht="13.9" customHeight="1" x14ac:dyDescent="0.2">
      <c r="A7" s="1469"/>
      <c r="B7" s="1469"/>
      <c r="C7" s="1469"/>
      <c r="D7" s="1469"/>
      <c r="E7" s="1469"/>
      <c r="F7" s="1469"/>
      <c r="G7" s="1469"/>
      <c r="H7" s="1469"/>
      <c r="I7" s="1469"/>
      <c r="J7" s="1469"/>
      <c r="K7" s="1469"/>
      <c r="L7" s="1470" t="s">
        <v>214</v>
      </c>
    </row>
    <row r="8" spans="1:12" x14ac:dyDescent="0.2">
      <c r="A8" s="904"/>
      <c r="B8" s="905"/>
      <c r="C8" s="906"/>
      <c r="D8" s="907"/>
      <c r="E8" s="908"/>
      <c r="F8" s="906"/>
      <c r="G8" s="906"/>
      <c r="H8" s="906"/>
      <c r="I8" s="906"/>
      <c r="J8" s="906"/>
      <c r="K8" s="909"/>
      <c r="L8" s="1470"/>
    </row>
    <row r="9" spans="1:12" x14ac:dyDescent="0.2">
      <c r="A9" s="910"/>
      <c r="B9" s="910"/>
      <c r="C9" s="911"/>
      <c r="D9" s="912"/>
      <c r="E9" s="912"/>
      <c r="F9" s="913"/>
      <c r="G9" s="913"/>
      <c r="H9" s="913"/>
      <c r="I9" s="913"/>
      <c r="J9" s="913"/>
      <c r="K9" s="913"/>
      <c r="L9" s="914"/>
    </row>
    <row r="10" spans="1:12" x14ac:dyDescent="0.2">
      <c r="A10" s="1471"/>
      <c r="B10" s="1471"/>
      <c r="C10" s="1471"/>
      <c r="D10" s="1471"/>
      <c r="E10" s="1471"/>
      <c r="F10" s="1471"/>
      <c r="G10" s="1471"/>
      <c r="H10" s="1471"/>
      <c r="I10" s="1471"/>
      <c r="J10" s="1471"/>
      <c r="K10" s="1471"/>
      <c r="L10" s="1471"/>
    </row>
    <row r="11" spans="1:12" x14ac:dyDescent="0.2">
      <c r="A11" s="915"/>
      <c r="B11" s="912"/>
      <c r="C11" s="911"/>
      <c r="D11" s="912"/>
      <c r="E11" s="911"/>
      <c r="F11" s="911"/>
      <c r="G11" s="911"/>
      <c r="H11" s="911"/>
      <c r="I11" s="911"/>
      <c r="J11" s="911"/>
      <c r="K11" s="911"/>
      <c r="L11" s="916"/>
    </row>
    <row r="12" spans="1:12" x14ac:dyDescent="0.2">
      <c r="A12" s="1472" t="s">
        <v>421</v>
      </c>
      <c r="B12" s="1472"/>
      <c r="C12" s="1472"/>
      <c r="D12" s="1472"/>
      <c r="E12" s="1542" t="s">
        <v>648</v>
      </c>
      <c r="F12" s="1542"/>
      <c r="G12" s="1542"/>
      <c r="H12" s="1542"/>
      <c r="I12" s="1542"/>
      <c r="J12" s="1542"/>
      <c r="K12" s="1542"/>
      <c r="L12" s="1542"/>
    </row>
    <row r="13" spans="1:12" x14ac:dyDescent="0.2">
      <c r="A13" s="920"/>
      <c r="B13" s="907"/>
      <c r="C13" s="921"/>
      <c r="D13" s="907"/>
      <c r="E13" s="907"/>
      <c r="F13" s="906"/>
      <c r="G13" s="906"/>
      <c r="H13" s="906"/>
      <c r="I13" s="906"/>
      <c r="J13" s="906"/>
      <c r="K13" s="906"/>
      <c r="L13" s="922"/>
    </row>
    <row r="14" spans="1:12" x14ac:dyDescent="0.2">
      <c r="A14" s="913"/>
      <c r="B14" s="913"/>
      <c r="C14" s="913"/>
      <c r="D14" s="913"/>
      <c r="E14" s="913"/>
      <c r="F14" s="913"/>
      <c r="G14" s="913"/>
      <c r="H14" s="913"/>
      <c r="I14" s="913"/>
      <c r="J14" s="913"/>
      <c r="K14" s="913"/>
      <c r="L14" s="914"/>
    </row>
    <row r="15" spans="1:12" x14ac:dyDescent="0.2">
      <c r="A15" s="1473" t="s">
        <v>422</v>
      </c>
      <c r="B15" s="1473"/>
      <c r="C15" s="1473"/>
      <c r="D15" s="1473"/>
      <c r="E15" s="1473"/>
      <c r="F15" s="1473"/>
      <c r="G15" s="1473"/>
      <c r="H15" s="1473"/>
      <c r="I15" s="1473"/>
      <c r="J15" s="1473"/>
      <c r="K15" s="1473"/>
      <c r="L15" s="1473"/>
    </row>
    <row r="16" spans="1:12" x14ac:dyDescent="0.2">
      <c r="A16" s="1473"/>
      <c r="B16" s="1473"/>
      <c r="C16" s="1473"/>
      <c r="D16" s="1473"/>
      <c r="E16" s="1473"/>
      <c r="F16" s="1473"/>
      <c r="G16" s="1473"/>
      <c r="H16" s="1473"/>
      <c r="I16" s="1473"/>
      <c r="J16" s="1473"/>
      <c r="K16" s="1473"/>
      <c r="L16" s="1473"/>
    </row>
    <row r="17" spans="1:12" x14ac:dyDescent="0.2">
      <c r="A17" s="923"/>
      <c r="B17" s="923"/>
      <c r="C17" s="923"/>
      <c r="D17" s="923"/>
      <c r="E17" s="923"/>
      <c r="F17" s="923"/>
      <c r="G17" s="923"/>
      <c r="H17" s="923"/>
      <c r="I17" s="923"/>
      <c r="J17" s="923"/>
      <c r="K17" s="923"/>
      <c r="L17" s="923"/>
    </row>
    <row r="18" spans="1:12" ht="13.9" customHeight="1" x14ac:dyDescent="0.2">
      <c r="A18" s="924" t="s">
        <v>423</v>
      </c>
      <c r="B18" s="925"/>
      <c r="C18" s="925"/>
      <c r="D18" s="926" t="s">
        <v>214</v>
      </c>
      <c r="E18" s="1515" t="s">
        <v>616</v>
      </c>
      <c r="F18" s="1515"/>
      <c r="G18" s="1515"/>
      <c r="H18" s="1515"/>
      <c r="I18" s="1515"/>
      <c r="J18" s="1515"/>
      <c r="K18" s="928" t="s">
        <v>425</v>
      </c>
      <c r="L18" s="929" t="s">
        <v>581</v>
      </c>
    </row>
    <row r="19" spans="1:12" x14ac:dyDescent="0.2">
      <c r="A19" s="910"/>
      <c r="B19" s="910"/>
      <c r="C19" s="910"/>
      <c r="D19" s="910"/>
      <c r="E19" s="910"/>
      <c r="F19" s="910"/>
      <c r="G19" s="910"/>
      <c r="H19" s="910"/>
      <c r="I19" s="910"/>
      <c r="J19" s="910"/>
      <c r="K19" s="910"/>
      <c r="L19" s="910"/>
    </row>
    <row r="20" spans="1:12" x14ac:dyDescent="0.2">
      <c r="A20" s="1462" t="s">
        <v>434</v>
      </c>
      <c r="B20" s="1462"/>
      <c r="C20" s="1462"/>
      <c r="D20" s="1462"/>
      <c r="E20" s="1462"/>
      <c r="F20" s="1462"/>
      <c r="G20" s="1460" t="s">
        <v>166</v>
      </c>
      <c r="H20" s="1460" t="s">
        <v>362</v>
      </c>
      <c r="I20" s="1460"/>
      <c r="J20" s="1500" t="s">
        <v>483</v>
      </c>
      <c r="K20" s="1500"/>
      <c r="L20" s="1076" t="s">
        <v>484</v>
      </c>
    </row>
    <row r="21" spans="1:12" x14ac:dyDescent="0.2">
      <c r="A21" s="1462"/>
      <c r="B21" s="1462"/>
      <c r="C21" s="1462"/>
      <c r="D21" s="1462"/>
      <c r="E21" s="1462"/>
      <c r="F21" s="1462"/>
      <c r="G21" s="1460"/>
      <c r="H21" s="943" t="s">
        <v>485</v>
      </c>
      <c r="I21" s="1077" t="s">
        <v>486</v>
      </c>
      <c r="J21" s="943" t="s">
        <v>485</v>
      </c>
      <c r="K21" s="1077" t="s">
        <v>486</v>
      </c>
      <c r="L21" s="1026" t="s">
        <v>487</v>
      </c>
    </row>
    <row r="22" spans="1:12" ht="22.5" customHeight="1" x14ac:dyDescent="0.2">
      <c r="A22" s="1043" t="s">
        <v>379</v>
      </c>
      <c r="B22" s="1130" t="s">
        <v>653</v>
      </c>
      <c r="C22" s="979" t="s">
        <v>442</v>
      </c>
      <c r="D22" s="1478" t="s">
        <v>654</v>
      </c>
      <c r="E22" s="1478"/>
      <c r="F22" s="1478"/>
      <c r="G22" s="1112">
        <v>1</v>
      </c>
      <c r="H22" s="1116">
        <v>1</v>
      </c>
      <c r="I22" s="961">
        <v>0</v>
      </c>
      <c r="J22" s="986">
        <v>210.93819999999999</v>
      </c>
      <c r="K22" s="986">
        <v>93.686000000000007</v>
      </c>
      <c r="L22" s="986">
        <f t="shared" ref="L22:L27" si="0">ROUND((G22*H22*J22)+(G22*I22*K22),4)</f>
        <v>210.93819999999999</v>
      </c>
    </row>
    <row r="23" spans="1:12" x14ac:dyDescent="0.2">
      <c r="A23" s="1043"/>
      <c r="B23" s="1130"/>
      <c r="C23" s="979"/>
      <c r="D23" s="1525"/>
      <c r="E23" s="1525"/>
      <c r="F23" s="1525"/>
      <c r="G23" s="1112"/>
      <c r="H23" s="1116"/>
      <c r="I23" s="961"/>
      <c r="J23" s="986"/>
      <c r="K23" s="986"/>
      <c r="L23" s="986">
        <f t="shared" si="0"/>
        <v>0</v>
      </c>
    </row>
    <row r="24" spans="1:12" x14ac:dyDescent="0.2">
      <c r="A24" s="1153"/>
      <c r="B24" s="942"/>
      <c r="C24" s="979"/>
      <c r="D24" s="942"/>
      <c r="E24" s="942"/>
      <c r="F24" s="942"/>
      <c r="G24" s="1112"/>
      <c r="H24" s="1116"/>
      <c r="I24" s="961"/>
      <c r="J24" s="1081"/>
      <c r="K24" s="1087"/>
      <c r="L24" s="986">
        <f t="shared" si="0"/>
        <v>0</v>
      </c>
    </row>
    <row r="25" spans="1:12" x14ac:dyDescent="0.2">
      <c r="A25" s="1153"/>
      <c r="B25" s="942"/>
      <c r="C25" s="979"/>
      <c r="D25" s="942"/>
      <c r="E25" s="942"/>
      <c r="F25" s="942"/>
      <c r="G25" s="1112"/>
      <c r="H25" s="1116"/>
      <c r="I25" s="961"/>
      <c r="J25" s="1081"/>
      <c r="K25" s="1087"/>
      <c r="L25" s="986">
        <f t="shared" si="0"/>
        <v>0</v>
      </c>
    </row>
    <row r="26" spans="1:12" x14ac:dyDescent="0.2">
      <c r="A26" s="1153"/>
      <c r="B26" s="942"/>
      <c r="C26" s="979"/>
      <c r="D26" s="942"/>
      <c r="E26" s="942"/>
      <c r="F26" s="942"/>
      <c r="G26" s="1112"/>
      <c r="H26" s="1116"/>
      <c r="I26" s="961"/>
      <c r="J26" s="1081"/>
      <c r="K26" s="1087"/>
      <c r="L26" s="986">
        <f t="shared" si="0"/>
        <v>0</v>
      </c>
    </row>
    <row r="27" spans="1:12" x14ac:dyDescent="0.2">
      <c r="A27" s="1153"/>
      <c r="B27" s="942"/>
      <c r="C27" s="979"/>
      <c r="D27" s="942"/>
      <c r="E27" s="942"/>
      <c r="F27" s="942"/>
      <c r="G27" s="1096"/>
      <c r="H27" s="1116"/>
      <c r="I27" s="961"/>
      <c r="J27" s="1086"/>
      <c r="K27" s="1087"/>
      <c r="L27" s="986">
        <f t="shared" si="0"/>
        <v>0</v>
      </c>
    </row>
    <row r="28" spans="1:12" x14ac:dyDescent="0.2">
      <c r="A28" s="1497" t="s">
        <v>488</v>
      </c>
      <c r="B28" s="1497"/>
      <c r="C28" s="1497"/>
      <c r="D28" s="1497"/>
      <c r="E28" s="1497"/>
      <c r="F28" s="1497"/>
      <c r="G28" s="1497"/>
      <c r="H28" s="1497"/>
      <c r="I28" s="1497"/>
      <c r="J28" s="1497"/>
      <c r="K28" s="1497"/>
      <c r="L28" s="1035">
        <f>ROUND(SUM(L22:L27),4)</f>
        <v>210.93819999999999</v>
      </c>
    </row>
    <row r="29" spans="1:12" x14ac:dyDescent="0.2">
      <c r="A29" s="930"/>
      <c r="B29" s="930"/>
      <c r="C29" s="930"/>
      <c r="D29" s="930"/>
      <c r="E29" s="930"/>
      <c r="F29" s="930"/>
      <c r="G29" s="930"/>
      <c r="H29" s="1023"/>
      <c r="I29" s="1023"/>
      <c r="J29" s="1023"/>
      <c r="K29" s="1023"/>
      <c r="L29" s="1023"/>
    </row>
    <row r="30" spans="1:12" ht="13.9" customHeight="1" x14ac:dyDescent="0.2">
      <c r="A30" s="1462" t="s">
        <v>447</v>
      </c>
      <c r="B30" s="1462"/>
      <c r="C30" s="1462"/>
      <c r="D30" s="1462"/>
      <c r="E30" s="1462"/>
      <c r="F30" s="1462"/>
      <c r="G30" s="1462"/>
      <c r="H30" s="1462"/>
      <c r="I30" s="1462"/>
      <c r="J30" s="1460" t="s">
        <v>166</v>
      </c>
      <c r="K30" s="1452" t="s">
        <v>489</v>
      </c>
      <c r="L30" s="1076" t="s">
        <v>449</v>
      </c>
    </row>
    <row r="31" spans="1:12" x14ac:dyDescent="0.2">
      <c r="A31" s="1462"/>
      <c r="B31" s="1462"/>
      <c r="C31" s="1462"/>
      <c r="D31" s="1462"/>
      <c r="E31" s="1462"/>
      <c r="F31" s="1462"/>
      <c r="G31" s="1462"/>
      <c r="H31" s="1462"/>
      <c r="I31" s="1462"/>
      <c r="J31" s="1460"/>
      <c r="K31" s="1452"/>
      <c r="L31" s="1026" t="s">
        <v>487</v>
      </c>
    </row>
    <row r="32" spans="1:12" x14ac:dyDescent="0.2">
      <c r="A32" s="1043" t="s">
        <v>379</v>
      </c>
      <c r="B32" s="1131" t="s">
        <v>713</v>
      </c>
      <c r="C32" s="979" t="s">
        <v>442</v>
      </c>
      <c r="D32" s="1525" t="s">
        <v>714</v>
      </c>
      <c r="E32" s="1525"/>
      <c r="F32" s="1525"/>
      <c r="G32" s="1525"/>
      <c r="H32" s="1525"/>
      <c r="I32" s="1525"/>
      <c r="J32" s="1080">
        <v>1</v>
      </c>
      <c r="K32" s="1020">
        <v>15.3812</v>
      </c>
      <c r="L32" s="1243">
        <f>ROUND(J32*K32,4)</f>
        <v>15.3812</v>
      </c>
    </row>
    <row r="33" spans="1:12" x14ac:dyDescent="0.2">
      <c r="A33" s="1043"/>
      <c r="B33" s="1130"/>
      <c r="C33" s="979"/>
      <c r="D33" s="942"/>
      <c r="E33" s="942"/>
      <c r="F33" s="942"/>
      <c r="G33" s="942"/>
      <c r="H33" s="942"/>
      <c r="I33" s="1144"/>
      <c r="J33" s="1080"/>
      <c r="K33" s="1020"/>
      <c r="L33" s="1243">
        <f>ROUND(J33*K33,4)</f>
        <v>0</v>
      </c>
    </row>
    <row r="34" spans="1:12" x14ac:dyDescent="0.2">
      <c r="A34" s="1153"/>
      <c r="B34" s="942"/>
      <c r="C34" s="979"/>
      <c r="D34" s="942"/>
      <c r="E34" s="942"/>
      <c r="F34" s="942"/>
      <c r="G34" s="910"/>
      <c r="H34" s="979"/>
      <c r="I34" s="1092"/>
      <c r="J34" s="1080"/>
      <c r="K34" s="1020"/>
      <c r="L34" s="1243">
        <f>ROUND(J34*K34,4)</f>
        <v>0</v>
      </c>
    </row>
    <row r="35" spans="1:12" x14ac:dyDescent="0.2">
      <c r="A35" s="1082"/>
      <c r="B35" s="1083"/>
      <c r="C35" s="1083"/>
      <c r="D35" s="1083"/>
      <c r="E35" s="1083"/>
      <c r="F35" s="1083"/>
      <c r="G35" s="905"/>
      <c r="H35" s="1077"/>
      <c r="I35" s="1095"/>
      <c r="J35" s="1085"/>
      <c r="K35" s="1020"/>
      <c r="L35" s="1243">
        <f>ROUND(J35*K35,4)</f>
        <v>0</v>
      </c>
    </row>
    <row r="36" spans="1:12" x14ac:dyDescent="0.2">
      <c r="A36" s="1497" t="s">
        <v>490</v>
      </c>
      <c r="B36" s="1497"/>
      <c r="C36" s="1497"/>
      <c r="D36" s="1497"/>
      <c r="E36" s="1497"/>
      <c r="F36" s="1497"/>
      <c r="G36" s="1497"/>
      <c r="H36" s="1497"/>
      <c r="I36" s="1497"/>
      <c r="J36" s="1497"/>
      <c r="K36" s="1497"/>
      <c r="L36" s="1035">
        <f>ROUND(SUM(L32:L35),4)</f>
        <v>15.3812</v>
      </c>
    </row>
    <row r="37" spans="1:12" x14ac:dyDescent="0.2">
      <c r="A37" s="930"/>
      <c r="B37" s="930"/>
      <c r="C37" s="930"/>
      <c r="D37" s="930"/>
      <c r="E37" s="930"/>
      <c r="F37" s="930"/>
      <c r="G37" s="930"/>
      <c r="H37" s="930"/>
      <c r="I37" s="930"/>
      <c r="J37" s="1023"/>
      <c r="K37" s="1023"/>
      <c r="L37" s="1099"/>
    </row>
    <row r="38" spans="1:12" x14ac:dyDescent="0.2">
      <c r="A38" s="930"/>
      <c r="B38" s="930"/>
      <c r="C38" s="930"/>
      <c r="D38" s="930"/>
      <c r="E38" s="930"/>
      <c r="F38" s="930"/>
      <c r="G38" s="930"/>
      <c r="H38" s="930"/>
      <c r="I38" s="930"/>
      <c r="J38" s="1023"/>
      <c r="K38" s="1100" t="s">
        <v>491</v>
      </c>
      <c r="L38" s="1260">
        <f>L28+L36</f>
        <v>226.3194</v>
      </c>
    </row>
    <row r="39" spans="1:12" x14ac:dyDescent="0.2">
      <c r="A39" s="1102" t="s">
        <v>492</v>
      </c>
      <c r="B39" s="930"/>
      <c r="C39" s="930"/>
      <c r="D39" s="930"/>
      <c r="E39" s="930"/>
      <c r="F39" s="1297">
        <v>221.33</v>
      </c>
      <c r="G39" s="1104" t="str">
        <f>L18</f>
        <v>m³</v>
      </c>
      <c r="H39" s="1102"/>
      <c r="I39" s="930"/>
      <c r="J39" s="1105"/>
      <c r="K39" s="1106" t="s">
        <v>493</v>
      </c>
      <c r="L39" s="968">
        <f>ROUND(L38/F39,4)</f>
        <v>1.0225</v>
      </c>
    </row>
    <row r="40" spans="1:12" x14ac:dyDescent="0.2">
      <c r="A40" s="1102"/>
      <c r="B40" s="930" t="s">
        <v>494</v>
      </c>
      <c r="C40" s="930"/>
      <c r="D40" s="930"/>
      <c r="E40" s="930"/>
      <c r="F40" s="1103">
        <v>4.8980000000000003E-2</v>
      </c>
      <c r="G40" s="1104"/>
      <c r="H40" s="1102"/>
      <c r="I40" s="930"/>
      <c r="J40" s="1105"/>
      <c r="K40" s="1100" t="s">
        <v>495</v>
      </c>
      <c r="L40" s="968">
        <f>ROUND(L39*F40,4)</f>
        <v>5.0099999999999999E-2</v>
      </c>
    </row>
    <row r="41" spans="1:12" x14ac:dyDescent="0.2">
      <c r="A41" s="1102"/>
      <c r="B41" s="930" t="s">
        <v>496</v>
      </c>
      <c r="C41" s="930"/>
      <c r="D41" s="930"/>
      <c r="E41" s="930"/>
      <c r="F41" s="1202"/>
      <c r="G41" s="1104"/>
      <c r="H41" s="1105"/>
      <c r="I41" s="1107"/>
      <c r="J41" s="1023"/>
      <c r="K41" s="1100" t="s">
        <v>497</v>
      </c>
      <c r="L41" s="968">
        <f>ROUND(L39*F41,4)</f>
        <v>0</v>
      </c>
    </row>
    <row r="42" spans="1:12" x14ac:dyDescent="0.2">
      <c r="A42" s="930"/>
      <c r="B42" s="930"/>
      <c r="C42" s="930"/>
      <c r="D42" s="930"/>
      <c r="E42" s="930"/>
      <c r="F42" s="930"/>
      <c r="G42" s="930"/>
      <c r="H42" s="930"/>
      <c r="I42" s="930"/>
      <c r="J42" s="1023"/>
      <c r="K42" s="1023"/>
      <c r="L42" s="1261"/>
    </row>
    <row r="43" spans="1:12" x14ac:dyDescent="0.2">
      <c r="A43" s="1462" t="s">
        <v>498</v>
      </c>
      <c r="B43" s="1462"/>
      <c r="C43" s="1462"/>
      <c r="D43" s="1462"/>
      <c r="E43" s="1462"/>
      <c r="F43" s="1462"/>
      <c r="G43" s="1462"/>
      <c r="H43" s="1462"/>
      <c r="I43" s="1456" t="s">
        <v>499</v>
      </c>
      <c r="J43" s="1456"/>
      <c r="K43" s="1456"/>
      <c r="L43" s="1056">
        <f>ROUND(SUM(L39:L42),4)</f>
        <v>1.0726</v>
      </c>
    </row>
    <row r="44" spans="1:12" x14ac:dyDescent="0.2">
      <c r="A44" s="910"/>
      <c r="B44" s="910"/>
      <c r="C44" s="910"/>
      <c r="D44" s="910"/>
      <c r="E44" s="910"/>
      <c r="F44" s="910"/>
      <c r="G44" s="1109"/>
      <c r="H44" s="1109"/>
      <c r="I44" s="933"/>
      <c r="J44" s="933"/>
      <c r="K44" s="933"/>
      <c r="L44" s="910"/>
    </row>
    <row r="45" spans="1:12" x14ac:dyDescent="0.2">
      <c r="A45" s="1462" t="s">
        <v>500</v>
      </c>
      <c r="B45" s="1462"/>
      <c r="C45" s="1462"/>
      <c r="D45" s="1462"/>
      <c r="E45" s="1462"/>
      <c r="F45" s="1462"/>
      <c r="G45" s="1462"/>
      <c r="H45" s="1460" t="s">
        <v>166</v>
      </c>
      <c r="I45" s="1460"/>
      <c r="J45" s="1460" t="s">
        <v>165</v>
      </c>
      <c r="K45" s="1076" t="s">
        <v>501</v>
      </c>
      <c r="L45" s="1076" t="s">
        <v>484</v>
      </c>
    </row>
    <row r="46" spans="1:12" x14ac:dyDescent="0.2">
      <c r="A46" s="1462"/>
      <c r="B46" s="1462"/>
      <c r="C46" s="1462"/>
      <c r="D46" s="1462"/>
      <c r="E46" s="1462"/>
      <c r="F46" s="1462"/>
      <c r="G46" s="1462"/>
      <c r="H46" s="1460"/>
      <c r="I46" s="1460"/>
      <c r="J46" s="1460"/>
      <c r="K46" s="1110" t="s">
        <v>451</v>
      </c>
      <c r="L46" s="1026" t="s">
        <v>451</v>
      </c>
    </row>
    <row r="47" spans="1:12" x14ac:dyDescent="0.2">
      <c r="A47" s="1134"/>
      <c r="B47" s="923"/>
      <c r="C47" s="979"/>
      <c r="D47" s="1527"/>
      <c r="E47" s="1527"/>
      <c r="F47" s="1527"/>
      <c r="G47" s="1527"/>
      <c r="H47" s="1495"/>
      <c r="I47" s="1495"/>
      <c r="J47" s="1113"/>
      <c r="K47" s="1020"/>
      <c r="L47" s="1138">
        <f>ROUND(K47*H47,4)</f>
        <v>0</v>
      </c>
    </row>
    <row r="48" spans="1:12" x14ac:dyDescent="0.2">
      <c r="A48" s="1134"/>
      <c r="B48" s="923"/>
      <c r="C48" s="979"/>
      <c r="D48" s="1525"/>
      <c r="E48" s="1525"/>
      <c r="F48" s="1525"/>
      <c r="G48" s="1525"/>
      <c r="H48" s="1495"/>
      <c r="I48" s="1495"/>
      <c r="J48" s="1113"/>
      <c r="K48" s="1020"/>
      <c r="L48" s="1138">
        <f>ROUND(K48*H48,4)</f>
        <v>0</v>
      </c>
    </row>
    <row r="49" spans="1:12" x14ac:dyDescent="0.2">
      <c r="A49" s="1114"/>
      <c r="B49" s="979"/>
      <c r="C49" s="979"/>
      <c r="D49" s="1525"/>
      <c r="E49" s="1525"/>
      <c r="F49" s="1525"/>
      <c r="G49" s="1525"/>
      <c r="H49" s="1495"/>
      <c r="I49" s="1495"/>
      <c r="J49" s="1113"/>
      <c r="K49" s="1020"/>
      <c r="L49" s="1138">
        <f>ROUND(K49*H49,4)</f>
        <v>0</v>
      </c>
    </row>
    <row r="50" spans="1:12" x14ac:dyDescent="0.2">
      <c r="A50" s="1114"/>
      <c r="B50" s="979"/>
      <c r="C50" s="979"/>
      <c r="D50" s="942"/>
      <c r="E50" s="942"/>
      <c r="F50" s="942"/>
      <c r="G50" s="937"/>
      <c r="H50" s="1495"/>
      <c r="I50" s="1495"/>
      <c r="J50" s="1113"/>
      <c r="K50" s="1020"/>
      <c r="L50" s="1138">
        <f>ROUND(K50*H50,4)</f>
        <v>0</v>
      </c>
    </row>
    <row r="51" spans="1:12" x14ac:dyDescent="0.2">
      <c r="A51" s="1114"/>
      <c r="B51" s="979"/>
      <c r="C51" s="979"/>
      <c r="D51" s="1083"/>
      <c r="E51" s="1083"/>
      <c r="F51" s="1083"/>
      <c r="G51" s="1115"/>
      <c r="H51" s="1512"/>
      <c r="I51" s="1512"/>
      <c r="J51" s="1113"/>
      <c r="K51" s="1020"/>
      <c r="L51" s="1138">
        <f>ROUND(K51*H51,4)</f>
        <v>0</v>
      </c>
    </row>
    <row r="52" spans="1:12" x14ac:dyDescent="0.2">
      <c r="A52" s="1454" t="s">
        <v>502</v>
      </c>
      <c r="B52" s="1454"/>
      <c r="C52" s="1454"/>
      <c r="D52" s="1454"/>
      <c r="E52" s="1454"/>
      <c r="F52" s="1454"/>
      <c r="G52" s="1454"/>
      <c r="H52" s="1454"/>
      <c r="I52" s="1454"/>
      <c r="J52" s="1454"/>
      <c r="K52" s="1454"/>
      <c r="L52" s="1108">
        <f>ROUND(SUM(L47:L51),4)</f>
        <v>0</v>
      </c>
    </row>
    <row r="53" spans="1:12" x14ac:dyDescent="0.2">
      <c r="A53" s="932"/>
      <c r="B53" s="932"/>
      <c r="C53" s="932"/>
      <c r="D53" s="932"/>
      <c r="E53" s="932"/>
      <c r="F53" s="932"/>
      <c r="G53" s="932"/>
      <c r="H53" s="932"/>
      <c r="I53" s="932"/>
      <c r="J53" s="910"/>
      <c r="K53" s="1117"/>
      <c r="L53" s="1118"/>
    </row>
    <row r="54" spans="1:12" ht="13.9" customHeight="1" x14ac:dyDescent="0.2">
      <c r="A54" s="1462" t="s">
        <v>503</v>
      </c>
      <c r="B54" s="1462"/>
      <c r="C54" s="1462"/>
      <c r="D54" s="1462"/>
      <c r="E54" s="1462"/>
      <c r="F54" s="1462"/>
      <c r="G54" s="1452" t="s">
        <v>504</v>
      </c>
      <c r="H54" s="1460" t="s">
        <v>505</v>
      </c>
      <c r="I54" s="1460"/>
      <c r="J54" s="1460"/>
      <c r="K54" s="1460"/>
      <c r="L54" s="1460" t="s">
        <v>506</v>
      </c>
    </row>
    <row r="55" spans="1:12" x14ac:dyDescent="0.2">
      <c r="A55" s="1462"/>
      <c r="B55" s="1462"/>
      <c r="C55" s="1462"/>
      <c r="D55" s="1462"/>
      <c r="E55" s="1462"/>
      <c r="F55" s="1462"/>
      <c r="G55" s="1452"/>
      <c r="H55" s="944" t="s">
        <v>112</v>
      </c>
      <c r="I55" s="1095" t="s">
        <v>380</v>
      </c>
      <c r="J55" s="1026" t="s">
        <v>383</v>
      </c>
      <c r="K55" s="1110" t="s">
        <v>385</v>
      </c>
      <c r="L55" s="1460"/>
    </row>
    <row r="56" spans="1:12" x14ac:dyDescent="0.2">
      <c r="A56" s="1462"/>
      <c r="B56" s="1462"/>
      <c r="C56" s="1462"/>
      <c r="D56" s="1462"/>
      <c r="E56" s="1462"/>
      <c r="F56" s="1462"/>
      <c r="G56" s="1452"/>
      <c r="H56" s="943" t="s">
        <v>507</v>
      </c>
      <c r="I56" s="1119"/>
      <c r="J56" s="1119"/>
      <c r="K56" s="1119"/>
      <c r="L56" s="1460"/>
    </row>
    <row r="57" spans="1:12" x14ac:dyDescent="0.2">
      <c r="A57" s="1488"/>
      <c r="B57" s="1489"/>
      <c r="C57" s="1490"/>
      <c r="D57" s="1502"/>
      <c r="E57" s="1502"/>
      <c r="F57" s="1503"/>
      <c r="G57" s="1493">
        <f>ROUND(H47/1000,5)</f>
        <v>0</v>
      </c>
      <c r="H57" s="1120" t="s">
        <v>508</v>
      </c>
      <c r="I57" s="1121"/>
      <c r="J57" s="1121"/>
      <c r="K57" s="1121"/>
      <c r="L57" s="1494">
        <f>ROUND(G57*($I$56*I58+$J$56*J58+$K$56*K58),4)</f>
        <v>0</v>
      </c>
    </row>
    <row r="58" spans="1:12" x14ac:dyDescent="0.2">
      <c r="A58" s="1488"/>
      <c r="B58" s="1489"/>
      <c r="C58" s="1490"/>
      <c r="D58" s="1502"/>
      <c r="E58" s="1502"/>
      <c r="F58" s="1503"/>
      <c r="G58" s="1493"/>
      <c r="H58" s="1122" t="s">
        <v>509</v>
      </c>
      <c r="I58" s="1123"/>
      <c r="J58" s="1123"/>
      <c r="K58" s="1123"/>
      <c r="L58" s="1494"/>
    </row>
    <row r="59" spans="1:12" x14ac:dyDescent="0.2">
      <c r="A59" s="1043"/>
      <c r="B59" s="958"/>
      <c r="C59" s="979"/>
      <c r="D59" s="1151"/>
      <c r="E59" s="1151"/>
      <c r="F59" s="1141"/>
      <c r="G59" s="1112"/>
      <c r="H59" s="1235"/>
      <c r="I59" s="1236"/>
      <c r="J59" s="961"/>
      <c r="K59" s="1116"/>
      <c r="L59" s="986"/>
    </row>
    <row r="60" spans="1:12" x14ac:dyDescent="0.2">
      <c r="A60" s="1114"/>
      <c r="B60" s="979"/>
      <c r="C60" s="979"/>
      <c r="D60" s="1083"/>
      <c r="E60" s="1083"/>
      <c r="F60" s="1083"/>
      <c r="G60" s="1096"/>
      <c r="H60" s="1247"/>
      <c r="I60" s="1247"/>
      <c r="J60" s="1137"/>
      <c r="K60" s="1044"/>
      <c r="L60" s="1138"/>
    </row>
    <row r="61" spans="1:12" x14ac:dyDescent="0.2">
      <c r="A61" s="1454" t="s">
        <v>510</v>
      </c>
      <c r="B61" s="1454"/>
      <c r="C61" s="1454"/>
      <c r="D61" s="1454"/>
      <c r="E61" s="1454"/>
      <c r="F61" s="1454"/>
      <c r="G61" s="1454"/>
      <c r="H61" s="1454"/>
      <c r="I61" s="1454"/>
      <c r="J61" s="1454"/>
      <c r="K61" s="1454"/>
      <c r="L61" s="1025">
        <f>ROUND(SUM(L57:L60),4)</f>
        <v>0</v>
      </c>
    </row>
    <row r="62" spans="1:12" x14ac:dyDescent="0.2">
      <c r="A62" s="1049"/>
      <c r="B62" s="1049"/>
      <c r="C62" s="1049"/>
      <c r="D62" s="1049"/>
      <c r="E62" s="1049"/>
      <c r="F62" s="1049"/>
      <c r="G62" s="932"/>
      <c r="H62" s="1050"/>
      <c r="I62" s="1050"/>
      <c r="J62" s="1051"/>
      <c r="K62" s="1052"/>
      <c r="L62" s="1125"/>
    </row>
    <row r="63" spans="1:12" x14ac:dyDescent="0.2">
      <c r="A63" s="1454" t="s">
        <v>460</v>
      </c>
      <c r="B63" s="1454"/>
      <c r="C63" s="1454"/>
      <c r="D63" s="1454"/>
      <c r="E63" s="1454"/>
      <c r="F63" s="1454"/>
      <c r="G63" s="1454"/>
      <c r="H63" s="1454"/>
      <c r="I63" s="1454"/>
      <c r="J63" s="1454"/>
      <c r="K63" s="1454"/>
      <c r="L63" s="1025">
        <f>ROUND(L43+L52+L61,4)</f>
        <v>1.0726</v>
      </c>
    </row>
    <row r="64" spans="1:12" x14ac:dyDescent="0.2">
      <c r="A64" s="1455" t="s">
        <v>461</v>
      </c>
      <c r="B64" s="1455"/>
      <c r="C64" s="1455"/>
      <c r="D64" s="1455"/>
      <c r="E64" s="1455"/>
      <c r="F64" s="1455"/>
      <c r="G64" s="1455"/>
      <c r="H64" s="1455"/>
      <c r="I64" s="1455"/>
      <c r="J64" s="1455"/>
      <c r="K64" s="1055">
        <v>0.25569999999999998</v>
      </c>
      <c r="L64" s="1056">
        <f>ROUND(L63*K64,4)</f>
        <v>0.27429999999999999</v>
      </c>
    </row>
    <row r="65" spans="1:12" x14ac:dyDescent="0.2">
      <c r="A65" s="1456" t="s">
        <v>462</v>
      </c>
      <c r="B65" s="1456"/>
      <c r="C65" s="1456"/>
      <c r="D65" s="1456"/>
      <c r="E65" s="1456"/>
      <c r="F65" s="1456"/>
      <c r="G65" s="1456"/>
      <c r="H65" s="1456"/>
      <c r="I65" s="1456"/>
      <c r="J65" s="1456"/>
      <c r="K65" s="1456"/>
      <c r="L65" s="1126">
        <f>ROUND(L63+L64,2)</f>
        <v>1.35</v>
      </c>
    </row>
    <row r="66" spans="1:12" x14ac:dyDescent="0.2">
      <c r="A66" s="1058"/>
      <c r="B66" s="1058"/>
      <c r="C66" s="1058"/>
      <c r="D66" s="1058"/>
      <c r="E66" s="1058"/>
      <c r="F66" s="1058"/>
      <c r="G66" s="1058"/>
      <c r="H66" s="1058"/>
      <c r="I66" s="1058"/>
      <c r="J66" s="1058"/>
      <c r="K66" s="1058"/>
      <c r="L66" s="1058"/>
    </row>
    <row r="67" spans="1:12" ht="24.75" customHeight="1" x14ac:dyDescent="0.2">
      <c r="A67" s="1059" t="s">
        <v>463</v>
      </c>
      <c r="B67" s="1060"/>
      <c r="C67" s="1545" t="s">
        <v>617</v>
      </c>
      <c r="D67" s="1545"/>
      <c r="E67" s="1545"/>
      <c r="F67" s="1545"/>
      <c r="G67" s="1545"/>
      <c r="H67" s="1545"/>
      <c r="I67" s="1545"/>
      <c r="J67" s="1545"/>
      <c r="K67" s="1545"/>
      <c r="L67" s="1545"/>
    </row>
    <row r="68" spans="1:12" ht="13.9" customHeight="1" x14ac:dyDescent="0.2">
      <c r="A68" s="1210"/>
      <c r="B68" s="1184"/>
      <c r="C68" s="1528" t="s">
        <v>575</v>
      </c>
      <c r="D68" s="1528"/>
      <c r="E68" s="1528"/>
      <c r="F68" s="1528"/>
      <c r="G68" s="1528"/>
      <c r="H68" s="1528"/>
      <c r="I68" s="1528"/>
      <c r="J68" s="1528"/>
      <c r="K68" s="1528"/>
      <c r="L68" s="1528"/>
    </row>
    <row r="69" spans="1:12" x14ac:dyDescent="0.2">
      <c r="A69" s="1210"/>
      <c r="B69" s="1184"/>
      <c r="C69" s="1184"/>
      <c r="D69" s="1184"/>
      <c r="E69" s="1184"/>
      <c r="F69" s="1184"/>
      <c r="G69" s="1184"/>
      <c r="H69" s="1184"/>
      <c r="I69" s="1184"/>
      <c r="J69" s="1184"/>
      <c r="K69" s="1184"/>
      <c r="L69" s="1253"/>
    </row>
    <row r="70" spans="1:12" x14ac:dyDescent="0.2">
      <c r="A70" s="1071"/>
      <c r="B70" s="1129"/>
      <c r="C70" s="1129"/>
      <c r="D70" s="1129"/>
      <c r="E70" s="1129"/>
      <c r="F70" s="1129"/>
      <c r="G70" s="1129"/>
      <c r="H70" s="1129"/>
      <c r="I70" s="1129"/>
      <c r="J70" s="1129"/>
      <c r="K70" s="1129"/>
      <c r="L70" s="1254"/>
    </row>
  </sheetData>
  <mergeCells count="56">
    <mergeCell ref="A1:L1"/>
    <mergeCell ref="A2:L2"/>
    <mergeCell ref="A3:L3"/>
    <mergeCell ref="A4:L4"/>
    <mergeCell ref="A5:K5"/>
    <mergeCell ref="A6:K6"/>
    <mergeCell ref="A7:K7"/>
    <mergeCell ref="L7:L8"/>
    <mergeCell ref="A10:L10"/>
    <mergeCell ref="A12:D12"/>
    <mergeCell ref="E12:L12"/>
    <mergeCell ref="A15:L16"/>
    <mergeCell ref="E18:J18"/>
    <mergeCell ref="A20:F21"/>
    <mergeCell ref="G20:G21"/>
    <mergeCell ref="H20:I20"/>
    <mergeCell ref="J20:K20"/>
    <mergeCell ref="D22:F22"/>
    <mergeCell ref="D23:F23"/>
    <mergeCell ref="A28:K28"/>
    <mergeCell ref="A30:I31"/>
    <mergeCell ref="J30:J31"/>
    <mergeCell ref="K30:K31"/>
    <mergeCell ref="D32:I32"/>
    <mergeCell ref="A36:K36"/>
    <mergeCell ref="A43:H43"/>
    <mergeCell ref="I43:K43"/>
    <mergeCell ref="A45:G46"/>
    <mergeCell ref="H45:I46"/>
    <mergeCell ref="J45:J46"/>
    <mergeCell ref="D47:G47"/>
    <mergeCell ref="H47:I47"/>
    <mergeCell ref="D48:G48"/>
    <mergeCell ref="H48:I48"/>
    <mergeCell ref="D49:G49"/>
    <mergeCell ref="H49:I49"/>
    <mergeCell ref="H50:I50"/>
    <mergeCell ref="H51:I51"/>
    <mergeCell ref="A52:K52"/>
    <mergeCell ref="A54:F56"/>
    <mergeCell ref="G54:G56"/>
    <mergeCell ref="H54:K54"/>
    <mergeCell ref="L54:L56"/>
    <mergeCell ref="A57:A58"/>
    <mergeCell ref="B57:B58"/>
    <mergeCell ref="C57:C58"/>
    <mergeCell ref="D57:E58"/>
    <mergeCell ref="F57:F58"/>
    <mergeCell ref="G57:G58"/>
    <mergeCell ref="L57:L58"/>
    <mergeCell ref="C68:L68"/>
    <mergeCell ref="A61:K61"/>
    <mergeCell ref="A63:K63"/>
    <mergeCell ref="A64:J64"/>
    <mergeCell ref="A65:K65"/>
    <mergeCell ref="C67:L67"/>
  </mergeCells>
  <dataValidations count="1">
    <dataValidation allowBlank="1" showInputMessage="1" showErrorMessage="1" prompt="Clique duas vezes sobre o número do item para ser direcionado à Planilha Orçamentária." sqref="D18" xr:uid="{00000000-0002-0000-1D00-000000000000}">
      <formula1>0</formula1>
      <formula2>0</formula2>
    </dataValidation>
  </dataValidations>
  <printOptions horizontalCentered="1" verticalCentered="1"/>
  <pageMargins left="0.51180555555555496" right="0.51180555555555496" top="0.78749999999999998" bottom="0.78749999999999998" header="0.51180555555555496" footer="0.51180555555555496"/>
  <pageSetup paperSize="9" scale="73" firstPageNumber="0" orientation="portrait"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L70"/>
  <sheetViews>
    <sheetView topLeftCell="A52" zoomScale="83" zoomScaleNormal="83" workbookViewId="0">
      <selection activeCell="P139" sqref="P139"/>
    </sheetView>
  </sheetViews>
  <sheetFormatPr defaultRowHeight="15" x14ac:dyDescent="0.2"/>
  <cols>
    <col min="1" max="2" width="7.6640625" style="902" customWidth="1"/>
    <col min="3" max="3" width="2.41796875" style="902" customWidth="1"/>
    <col min="4" max="4" width="3.765625" style="902" customWidth="1"/>
    <col min="5" max="5" width="23.67578125" style="902" customWidth="1"/>
    <col min="6" max="6" width="12.64453125" style="902" customWidth="1"/>
    <col min="7" max="7" width="8.7421875" style="902" customWidth="1"/>
    <col min="8" max="8" width="9.68359375" style="902" customWidth="1"/>
    <col min="9" max="11" width="8.7421875" style="902" customWidth="1"/>
    <col min="12" max="12" width="10.76171875" style="902" customWidth="1"/>
    <col min="13" max="1025" width="8.7421875" customWidth="1"/>
  </cols>
  <sheetData>
    <row r="1" spans="1:12" x14ac:dyDescent="0.2">
      <c r="A1" s="1474"/>
      <c r="B1" s="1474"/>
      <c r="C1" s="1474"/>
      <c r="D1" s="1474"/>
      <c r="E1" s="1474"/>
      <c r="F1" s="1474"/>
      <c r="G1" s="1474"/>
      <c r="H1" s="1474"/>
      <c r="I1" s="1474"/>
      <c r="J1" s="1474"/>
      <c r="K1" s="1474"/>
      <c r="L1" s="1474"/>
    </row>
    <row r="2" spans="1:12" x14ac:dyDescent="0.2">
      <c r="A2" s="1475" t="s">
        <v>629</v>
      </c>
      <c r="B2" s="1475"/>
      <c r="C2" s="1475"/>
      <c r="D2" s="1475"/>
      <c r="E2" s="1475"/>
      <c r="F2" s="1475"/>
      <c r="G2" s="1475"/>
      <c r="H2" s="1475"/>
      <c r="I2" s="1475"/>
      <c r="J2" s="1475"/>
      <c r="K2" s="1475"/>
      <c r="L2" s="1475"/>
    </row>
    <row r="3" spans="1:12" x14ac:dyDescent="0.2">
      <c r="A3" s="1474"/>
      <c r="B3" s="1474"/>
      <c r="C3" s="1474"/>
      <c r="D3" s="1474"/>
      <c r="E3" s="1474"/>
      <c r="F3" s="1474"/>
      <c r="G3" s="1474"/>
      <c r="H3" s="1474"/>
      <c r="I3" s="1474"/>
      <c r="J3" s="1474"/>
      <c r="K3" s="1474"/>
      <c r="L3" s="1474"/>
    </row>
    <row r="4" spans="1:12" x14ac:dyDescent="0.2">
      <c r="A4" s="1476"/>
      <c r="B4" s="1476"/>
      <c r="C4" s="1476"/>
      <c r="D4" s="1476"/>
      <c r="E4" s="1476"/>
      <c r="F4" s="1476"/>
      <c r="G4" s="1476"/>
      <c r="H4" s="1476"/>
      <c r="I4" s="1476"/>
      <c r="J4" s="1476"/>
      <c r="K4" s="1476"/>
      <c r="L4" s="1476"/>
    </row>
    <row r="5" spans="1:12" x14ac:dyDescent="0.2">
      <c r="A5" s="1477"/>
      <c r="B5" s="1477"/>
      <c r="C5" s="1477"/>
      <c r="D5" s="1477"/>
      <c r="E5" s="1477"/>
      <c r="F5" s="1477"/>
      <c r="G5" s="1477"/>
      <c r="H5" s="1477"/>
      <c r="I5" s="1477"/>
      <c r="J5" s="1477"/>
      <c r="K5" s="1477"/>
      <c r="L5" s="903" t="s">
        <v>419</v>
      </c>
    </row>
    <row r="6" spans="1:12" x14ac:dyDescent="0.2">
      <c r="A6" s="1469"/>
      <c r="B6" s="1469"/>
      <c r="C6" s="1469"/>
      <c r="D6" s="1469"/>
      <c r="E6" s="1469"/>
      <c r="F6" s="1469"/>
      <c r="G6" s="1469"/>
      <c r="H6" s="1469"/>
      <c r="I6" s="1469"/>
      <c r="J6" s="1469"/>
      <c r="K6" s="1469"/>
      <c r="L6" s="1075"/>
    </row>
    <row r="7" spans="1:12" ht="13.9" customHeight="1" x14ac:dyDescent="0.2">
      <c r="A7" s="1469"/>
      <c r="B7" s="1469"/>
      <c r="C7" s="1469"/>
      <c r="D7" s="1469"/>
      <c r="E7" s="1469"/>
      <c r="F7" s="1469"/>
      <c r="G7" s="1469"/>
      <c r="H7" s="1469"/>
      <c r="I7" s="1469"/>
      <c r="J7" s="1469"/>
      <c r="K7" s="1469"/>
      <c r="L7" s="1470" t="s">
        <v>217</v>
      </c>
    </row>
    <row r="8" spans="1:12" x14ac:dyDescent="0.2">
      <c r="A8" s="904"/>
      <c r="B8" s="905"/>
      <c r="C8" s="906"/>
      <c r="D8" s="907"/>
      <c r="E8" s="908"/>
      <c r="F8" s="906"/>
      <c r="G8" s="906"/>
      <c r="H8" s="906"/>
      <c r="I8" s="906"/>
      <c r="J8" s="906"/>
      <c r="K8" s="909"/>
      <c r="L8" s="1470"/>
    </row>
    <row r="9" spans="1:12" x14ac:dyDescent="0.2">
      <c r="A9" s="910"/>
      <c r="B9" s="910"/>
      <c r="C9" s="911"/>
      <c r="D9" s="912"/>
      <c r="E9" s="912"/>
      <c r="F9" s="913"/>
      <c r="G9" s="913"/>
      <c r="H9" s="913"/>
      <c r="I9" s="913"/>
      <c r="J9" s="913"/>
      <c r="K9" s="913"/>
      <c r="L9" s="914"/>
    </row>
    <row r="10" spans="1:12" x14ac:dyDescent="0.2">
      <c r="A10" s="1471"/>
      <c r="B10" s="1471"/>
      <c r="C10" s="1471"/>
      <c r="D10" s="1471"/>
      <c r="E10" s="1471"/>
      <c r="F10" s="1471"/>
      <c r="G10" s="1471"/>
      <c r="H10" s="1471"/>
      <c r="I10" s="1471"/>
      <c r="J10" s="1471"/>
      <c r="K10" s="1471"/>
      <c r="L10" s="1471"/>
    </row>
    <row r="11" spans="1:12" x14ac:dyDescent="0.2">
      <c r="A11" s="915"/>
      <c r="B11" s="912"/>
      <c r="C11" s="911"/>
      <c r="D11" s="912"/>
      <c r="E11" s="911"/>
      <c r="F11" s="911"/>
      <c r="G11" s="911"/>
      <c r="H11" s="911"/>
      <c r="I11" s="911"/>
      <c r="J11" s="911"/>
      <c r="K11" s="911"/>
      <c r="L11" s="916"/>
    </row>
    <row r="12" spans="1:12" x14ac:dyDescent="0.2">
      <c r="A12" s="1472" t="s">
        <v>421</v>
      </c>
      <c r="B12" s="1472"/>
      <c r="C12" s="1472"/>
      <c r="D12" s="1472"/>
      <c r="E12" s="1542" t="s">
        <v>648</v>
      </c>
      <c r="F12" s="1542"/>
      <c r="G12" s="1542"/>
      <c r="H12" s="1542"/>
      <c r="I12" s="1542"/>
      <c r="J12" s="1542"/>
      <c r="K12" s="1542"/>
      <c r="L12" s="1542"/>
    </row>
    <row r="13" spans="1:12" x14ac:dyDescent="0.2">
      <c r="A13" s="920"/>
      <c r="B13" s="907"/>
      <c r="C13" s="921"/>
      <c r="D13" s="907"/>
      <c r="E13" s="907"/>
      <c r="F13" s="906"/>
      <c r="G13" s="906"/>
      <c r="H13" s="906"/>
      <c r="I13" s="906"/>
      <c r="J13" s="906"/>
      <c r="K13" s="906"/>
      <c r="L13" s="922"/>
    </row>
    <row r="14" spans="1:12" x14ac:dyDescent="0.2">
      <c r="A14" s="913"/>
      <c r="B14" s="913"/>
      <c r="C14" s="913"/>
      <c r="D14" s="913"/>
      <c r="E14" s="913"/>
      <c r="F14" s="913"/>
      <c r="G14" s="913"/>
      <c r="H14" s="913"/>
      <c r="I14" s="913"/>
      <c r="J14" s="913"/>
      <c r="K14" s="913"/>
      <c r="L14" s="914"/>
    </row>
    <row r="15" spans="1:12" x14ac:dyDescent="0.2">
      <c r="A15" s="1473" t="s">
        <v>422</v>
      </c>
      <c r="B15" s="1473"/>
      <c r="C15" s="1473"/>
      <c r="D15" s="1473"/>
      <c r="E15" s="1473"/>
      <c r="F15" s="1473"/>
      <c r="G15" s="1473"/>
      <c r="H15" s="1473"/>
      <c r="I15" s="1473"/>
      <c r="J15" s="1473"/>
      <c r="K15" s="1473"/>
      <c r="L15" s="1473"/>
    </row>
    <row r="16" spans="1:12" x14ac:dyDescent="0.2">
      <c r="A16" s="1473"/>
      <c r="B16" s="1473"/>
      <c r="C16" s="1473"/>
      <c r="D16" s="1473"/>
      <c r="E16" s="1473"/>
      <c r="F16" s="1473"/>
      <c r="G16" s="1473"/>
      <c r="H16" s="1473"/>
      <c r="I16" s="1473"/>
      <c r="J16" s="1473"/>
      <c r="K16" s="1473"/>
      <c r="L16" s="1473"/>
    </row>
    <row r="17" spans="1:12" x14ac:dyDescent="0.2">
      <c r="A17" s="923"/>
      <c r="B17" s="923"/>
      <c r="C17" s="923"/>
      <c r="D17" s="923"/>
      <c r="E17" s="923"/>
      <c r="F17" s="923"/>
      <c r="G17" s="923"/>
      <c r="H17" s="923"/>
      <c r="I17" s="923"/>
      <c r="J17" s="923"/>
      <c r="K17" s="923"/>
      <c r="L17" s="923"/>
    </row>
    <row r="18" spans="1:12" x14ac:dyDescent="0.2">
      <c r="A18" s="924" t="s">
        <v>423</v>
      </c>
      <c r="B18" s="925"/>
      <c r="C18" s="925"/>
      <c r="D18" s="1258" t="s">
        <v>217</v>
      </c>
      <c r="E18" s="1466" t="s">
        <v>392</v>
      </c>
      <c r="F18" s="1466"/>
      <c r="G18" s="1466"/>
      <c r="H18" s="1466"/>
      <c r="I18" s="1466"/>
      <c r="J18" s="1466"/>
      <c r="K18" s="928" t="s">
        <v>425</v>
      </c>
      <c r="L18" s="929" t="s">
        <v>618</v>
      </c>
    </row>
    <row r="19" spans="1:12" x14ac:dyDescent="0.2">
      <c r="A19" s="910"/>
      <c r="B19" s="910"/>
      <c r="C19" s="910"/>
      <c r="D19" s="910"/>
      <c r="E19" s="910"/>
      <c r="F19" s="910"/>
      <c r="G19" s="910"/>
      <c r="H19" s="910"/>
      <c r="I19" s="910"/>
      <c r="J19" s="910"/>
      <c r="K19" s="910"/>
      <c r="L19" s="910"/>
    </row>
    <row r="20" spans="1:12" x14ac:dyDescent="0.2">
      <c r="A20" s="1462" t="s">
        <v>434</v>
      </c>
      <c r="B20" s="1462"/>
      <c r="C20" s="1462"/>
      <c r="D20" s="1462"/>
      <c r="E20" s="1462"/>
      <c r="F20" s="1462"/>
      <c r="G20" s="1460" t="s">
        <v>166</v>
      </c>
      <c r="H20" s="1460" t="s">
        <v>362</v>
      </c>
      <c r="I20" s="1460"/>
      <c r="J20" s="1500" t="s">
        <v>483</v>
      </c>
      <c r="K20" s="1500"/>
      <c r="L20" s="1076" t="s">
        <v>484</v>
      </c>
    </row>
    <row r="21" spans="1:12" x14ac:dyDescent="0.2">
      <c r="A21" s="1462"/>
      <c r="B21" s="1462"/>
      <c r="C21" s="1462"/>
      <c r="D21" s="1462"/>
      <c r="E21" s="1462"/>
      <c r="F21" s="1462"/>
      <c r="G21" s="1460"/>
      <c r="H21" s="943" t="s">
        <v>485</v>
      </c>
      <c r="I21" s="1077" t="s">
        <v>486</v>
      </c>
      <c r="J21" s="943" t="s">
        <v>485</v>
      </c>
      <c r="K21" s="1077" t="s">
        <v>486</v>
      </c>
      <c r="L21" s="1026" t="s">
        <v>487</v>
      </c>
    </row>
    <row r="22" spans="1:12" ht="26.25" customHeight="1" x14ac:dyDescent="0.2">
      <c r="A22" s="1043" t="s">
        <v>379</v>
      </c>
      <c r="B22" s="1130" t="s">
        <v>635</v>
      </c>
      <c r="C22" s="979" t="s">
        <v>442</v>
      </c>
      <c r="D22" s="1520" t="s">
        <v>634</v>
      </c>
      <c r="E22" s="1520"/>
      <c r="F22" s="1520"/>
      <c r="G22" s="1112">
        <v>1</v>
      </c>
      <c r="H22" s="1116">
        <v>1</v>
      </c>
      <c r="I22" s="961">
        <v>0</v>
      </c>
      <c r="J22" s="1138">
        <v>192.23320000000001</v>
      </c>
      <c r="K22" s="1138">
        <v>54.2408</v>
      </c>
      <c r="L22" s="1138">
        <f t="shared" ref="L22:L28" si="0">ROUND((G22*H22*J22)+(G22*I22*K22),4)</f>
        <v>192.23320000000001</v>
      </c>
    </row>
    <row r="23" spans="1:12" x14ac:dyDescent="0.2">
      <c r="A23" s="1153"/>
      <c r="B23" s="942"/>
      <c r="C23" s="979"/>
      <c r="D23" s="942"/>
      <c r="E23" s="942"/>
      <c r="F23" s="942"/>
      <c r="G23" s="1112"/>
      <c r="H23" s="1116"/>
      <c r="I23" s="961"/>
      <c r="J23" s="1138"/>
      <c r="K23" s="1255"/>
      <c r="L23" s="1138">
        <f t="shared" si="0"/>
        <v>0</v>
      </c>
    </row>
    <row r="24" spans="1:12" x14ac:dyDescent="0.2">
      <c r="A24" s="1153"/>
      <c r="B24" s="942"/>
      <c r="C24" s="979"/>
      <c r="D24" s="942"/>
      <c r="E24" s="942"/>
      <c r="F24" s="942"/>
      <c r="G24" s="1112"/>
      <c r="H24" s="1116"/>
      <c r="I24" s="961"/>
      <c r="J24" s="1138"/>
      <c r="K24" s="1255"/>
      <c r="L24" s="1138">
        <f t="shared" si="0"/>
        <v>0</v>
      </c>
    </row>
    <row r="25" spans="1:12" x14ac:dyDescent="0.2">
      <c r="A25" s="1153"/>
      <c r="B25" s="942"/>
      <c r="C25" s="979"/>
      <c r="D25" s="942"/>
      <c r="E25" s="942"/>
      <c r="F25" s="942"/>
      <c r="G25" s="1112"/>
      <c r="H25" s="1116"/>
      <c r="I25" s="961"/>
      <c r="J25" s="1138"/>
      <c r="K25" s="1255"/>
      <c r="L25" s="1138">
        <f t="shared" si="0"/>
        <v>0</v>
      </c>
    </row>
    <row r="26" spans="1:12" x14ac:dyDescent="0.2">
      <c r="A26" s="1153"/>
      <c r="B26" s="942"/>
      <c r="C26" s="979"/>
      <c r="D26" s="942"/>
      <c r="E26" s="942"/>
      <c r="F26" s="942"/>
      <c r="G26" s="1112"/>
      <c r="H26" s="1116"/>
      <c r="I26" s="961"/>
      <c r="J26" s="1138"/>
      <c r="K26" s="1255"/>
      <c r="L26" s="1138">
        <f t="shared" si="0"/>
        <v>0</v>
      </c>
    </row>
    <row r="27" spans="1:12" x14ac:dyDescent="0.2">
      <c r="A27" s="1153"/>
      <c r="B27" s="942"/>
      <c r="C27" s="979"/>
      <c r="D27" s="942"/>
      <c r="E27" s="942"/>
      <c r="F27" s="942"/>
      <c r="G27" s="1112"/>
      <c r="H27" s="1116"/>
      <c r="I27" s="961"/>
      <c r="J27" s="1138"/>
      <c r="K27" s="1255"/>
      <c r="L27" s="1138">
        <f t="shared" si="0"/>
        <v>0</v>
      </c>
    </row>
    <row r="28" spans="1:12" x14ac:dyDescent="0.2">
      <c r="A28" s="1153"/>
      <c r="B28" s="942"/>
      <c r="C28" s="979"/>
      <c r="D28" s="942"/>
      <c r="E28" s="942"/>
      <c r="F28" s="942"/>
      <c r="G28" s="1096"/>
      <c r="H28" s="1116"/>
      <c r="I28" s="961"/>
      <c r="J28" s="1246"/>
      <c r="K28" s="1255"/>
      <c r="L28" s="1138">
        <f t="shared" si="0"/>
        <v>0</v>
      </c>
    </row>
    <row r="29" spans="1:12" x14ac:dyDescent="0.2">
      <c r="A29" s="1497" t="s">
        <v>488</v>
      </c>
      <c r="B29" s="1497"/>
      <c r="C29" s="1497"/>
      <c r="D29" s="1497"/>
      <c r="E29" s="1497"/>
      <c r="F29" s="1497"/>
      <c r="G29" s="1497"/>
      <c r="H29" s="1497"/>
      <c r="I29" s="1497"/>
      <c r="J29" s="1497"/>
      <c r="K29" s="1497"/>
      <c r="L29" s="1035">
        <f>ROUND(SUM(L22:L28),4)</f>
        <v>192.23320000000001</v>
      </c>
    </row>
    <row r="30" spans="1:12" x14ac:dyDescent="0.2">
      <c r="A30" s="930"/>
      <c r="B30" s="930"/>
      <c r="C30" s="930"/>
      <c r="D30" s="930"/>
      <c r="E30" s="930"/>
      <c r="F30" s="930"/>
      <c r="G30" s="930"/>
      <c r="H30" s="1023"/>
      <c r="I30" s="1023"/>
      <c r="J30" s="1023"/>
      <c r="K30" s="1023"/>
      <c r="L30" s="1023"/>
    </row>
    <row r="31" spans="1:12" ht="13.9" customHeight="1" x14ac:dyDescent="0.2">
      <c r="A31" s="1462" t="s">
        <v>447</v>
      </c>
      <c r="B31" s="1462"/>
      <c r="C31" s="1462"/>
      <c r="D31" s="1462"/>
      <c r="E31" s="1462"/>
      <c r="F31" s="1462"/>
      <c r="G31" s="1462"/>
      <c r="H31" s="1462"/>
      <c r="I31" s="1462"/>
      <c r="J31" s="1460" t="s">
        <v>166</v>
      </c>
      <c r="K31" s="1452" t="s">
        <v>489</v>
      </c>
      <c r="L31" s="1076" t="s">
        <v>449</v>
      </c>
    </row>
    <row r="32" spans="1:12" x14ac:dyDescent="0.2">
      <c r="A32" s="1462"/>
      <c r="B32" s="1462"/>
      <c r="C32" s="1462"/>
      <c r="D32" s="1462"/>
      <c r="E32" s="1462"/>
      <c r="F32" s="1462"/>
      <c r="G32" s="1462"/>
      <c r="H32" s="1462"/>
      <c r="I32" s="1462"/>
      <c r="J32" s="1460"/>
      <c r="K32" s="1452"/>
      <c r="L32" s="1026" t="s">
        <v>487</v>
      </c>
    </row>
    <row r="33" spans="1:12" x14ac:dyDescent="0.2">
      <c r="A33" s="1114"/>
      <c r="B33" s="979"/>
      <c r="C33" s="979"/>
      <c r="D33" s="942"/>
      <c r="E33" s="942"/>
      <c r="F33" s="942"/>
      <c r="G33" s="910"/>
      <c r="H33" s="979"/>
      <c r="I33" s="1092"/>
      <c r="J33" s="1080"/>
      <c r="K33" s="1298"/>
      <c r="L33" s="1243">
        <f>ROUND(J33*K33,4)</f>
        <v>0</v>
      </c>
    </row>
    <row r="34" spans="1:12" x14ac:dyDescent="0.2">
      <c r="A34" s="1114"/>
      <c r="B34" s="979"/>
      <c r="C34" s="979"/>
      <c r="D34" s="942"/>
      <c r="E34" s="942"/>
      <c r="F34" s="942"/>
      <c r="G34" s="910"/>
      <c r="H34" s="979"/>
      <c r="I34" s="1092"/>
      <c r="J34" s="1080"/>
      <c r="K34" s="1256"/>
      <c r="L34" s="1243">
        <f>ROUND(J34*K34,4)</f>
        <v>0</v>
      </c>
    </row>
    <row r="35" spans="1:12" x14ac:dyDescent="0.2">
      <c r="A35" s="1114"/>
      <c r="B35" s="979"/>
      <c r="C35" s="979"/>
      <c r="D35" s="942"/>
      <c r="E35" s="942"/>
      <c r="F35" s="942"/>
      <c r="G35" s="910"/>
      <c r="H35" s="979"/>
      <c r="I35" s="1092"/>
      <c r="J35" s="1080"/>
      <c r="K35" s="1256"/>
      <c r="L35" s="1243">
        <f>ROUND(J35*K35,4)</f>
        <v>0</v>
      </c>
    </row>
    <row r="36" spans="1:12" x14ac:dyDescent="0.2">
      <c r="A36" s="1299"/>
      <c r="B36" s="1083"/>
      <c r="C36" s="1083"/>
      <c r="D36" s="1083"/>
      <c r="E36" s="1083"/>
      <c r="F36" s="1083"/>
      <c r="G36" s="905"/>
      <c r="H36" s="1077"/>
      <c r="I36" s="1095"/>
      <c r="J36" s="1085"/>
      <c r="K36" s="1256"/>
      <c r="L36" s="1243">
        <f>ROUND(J36*K36,4)</f>
        <v>0</v>
      </c>
    </row>
    <row r="37" spans="1:12" x14ac:dyDescent="0.2">
      <c r="A37" s="1497" t="s">
        <v>490</v>
      </c>
      <c r="B37" s="1497"/>
      <c r="C37" s="1497"/>
      <c r="D37" s="1497"/>
      <c r="E37" s="1497"/>
      <c r="F37" s="1497"/>
      <c r="G37" s="1497"/>
      <c r="H37" s="1497"/>
      <c r="I37" s="1497"/>
      <c r="J37" s="1497"/>
      <c r="K37" s="1497"/>
      <c r="L37" s="1035">
        <f>ROUND(SUM(L33:L36),4)</f>
        <v>0</v>
      </c>
    </row>
    <row r="38" spans="1:12" x14ac:dyDescent="0.2">
      <c r="A38" s="930"/>
      <c r="B38" s="930"/>
      <c r="C38" s="930"/>
      <c r="D38" s="930"/>
      <c r="E38" s="930"/>
      <c r="F38" s="930"/>
      <c r="G38" s="930"/>
      <c r="H38" s="930"/>
      <c r="I38" s="930"/>
      <c r="J38" s="1023"/>
      <c r="K38" s="1023"/>
      <c r="L38" s="1023"/>
    </row>
    <row r="39" spans="1:12" x14ac:dyDescent="0.2">
      <c r="A39" s="930"/>
      <c r="B39" s="930"/>
      <c r="C39" s="930"/>
      <c r="D39" s="930"/>
      <c r="E39" s="930"/>
      <c r="F39" s="930"/>
      <c r="G39" s="930"/>
      <c r="H39" s="930"/>
      <c r="I39" s="930"/>
      <c r="J39" s="1023"/>
      <c r="K39" s="1100" t="s">
        <v>491</v>
      </c>
      <c r="L39" s="1101">
        <f>L29+L37</f>
        <v>192.23320000000001</v>
      </c>
    </row>
    <row r="40" spans="1:12" x14ac:dyDescent="0.2">
      <c r="A40" s="1102" t="s">
        <v>492</v>
      </c>
      <c r="B40" s="930"/>
      <c r="C40" s="930"/>
      <c r="D40" s="930"/>
      <c r="E40" s="930"/>
      <c r="F40" s="1103">
        <v>249</v>
      </c>
      <c r="G40" s="1257" t="str">
        <f>L18</f>
        <v>t x km</v>
      </c>
      <c r="H40" s="1102"/>
      <c r="I40" s="930"/>
      <c r="J40" s="1105"/>
      <c r="K40" s="1106" t="s">
        <v>493</v>
      </c>
      <c r="L40" s="968">
        <f>ROUND(L39/F40,4)</f>
        <v>0.77200000000000002</v>
      </c>
    </row>
    <row r="41" spans="1:12" x14ac:dyDescent="0.2">
      <c r="A41" s="1102"/>
      <c r="B41" s="930" t="s">
        <v>494</v>
      </c>
      <c r="C41" s="930"/>
      <c r="D41" s="930"/>
      <c r="E41" s="930"/>
      <c r="F41" s="1103">
        <v>4.8980000000000003E-2</v>
      </c>
      <c r="G41" s="1104"/>
      <c r="H41" s="1102"/>
      <c r="I41" s="930"/>
      <c r="J41" s="1105"/>
      <c r="K41" s="1100" t="s">
        <v>495</v>
      </c>
      <c r="L41" s="968">
        <f>ROUND(L40*F41,4)</f>
        <v>3.78E-2</v>
      </c>
    </row>
    <row r="42" spans="1:12" x14ac:dyDescent="0.2">
      <c r="A42" s="1102"/>
      <c r="B42" s="930" t="s">
        <v>496</v>
      </c>
      <c r="C42" s="930"/>
      <c r="D42" s="930"/>
      <c r="E42" s="930"/>
      <c r="F42" s="1202"/>
      <c r="G42" s="1104"/>
      <c r="H42" s="1105"/>
      <c r="I42" s="1107"/>
      <c r="J42" s="1023"/>
      <c r="K42" s="1100" t="s">
        <v>497</v>
      </c>
      <c r="L42" s="968">
        <f>ROUND(L40*F42,4)</f>
        <v>0</v>
      </c>
    </row>
    <row r="43" spans="1:12" x14ac:dyDescent="0.2">
      <c r="A43" s="930"/>
      <c r="B43" s="930"/>
      <c r="C43" s="930"/>
      <c r="D43" s="930"/>
      <c r="E43" s="930"/>
      <c r="F43" s="930"/>
      <c r="G43" s="930"/>
      <c r="H43" s="930"/>
      <c r="I43" s="930"/>
      <c r="J43" s="1023"/>
      <c r="K43" s="1023"/>
      <c r="L43" s="1099"/>
    </row>
    <row r="44" spans="1:12" x14ac:dyDescent="0.2">
      <c r="A44" s="1462" t="s">
        <v>498</v>
      </c>
      <c r="B44" s="1462"/>
      <c r="C44" s="1462"/>
      <c r="D44" s="1462"/>
      <c r="E44" s="1462"/>
      <c r="F44" s="1462"/>
      <c r="G44" s="1462"/>
      <c r="H44" s="1462"/>
      <c r="I44" s="1456" t="s">
        <v>499</v>
      </c>
      <c r="J44" s="1456"/>
      <c r="K44" s="1456"/>
      <c r="L44" s="1108">
        <f>ROUND(SUM(L40:L43),4)</f>
        <v>0.80979999999999996</v>
      </c>
    </row>
    <row r="45" spans="1:12" x14ac:dyDescent="0.2">
      <c r="A45" s="910"/>
      <c r="B45" s="910"/>
      <c r="C45" s="910"/>
      <c r="D45" s="910"/>
      <c r="E45" s="910"/>
      <c r="F45" s="910"/>
      <c r="G45" s="1109"/>
      <c r="H45" s="1109"/>
      <c r="I45" s="933"/>
      <c r="J45" s="933"/>
      <c r="K45" s="933"/>
      <c r="L45" s="910"/>
    </row>
    <row r="46" spans="1:12" x14ac:dyDescent="0.2">
      <c r="A46" s="1462" t="s">
        <v>500</v>
      </c>
      <c r="B46" s="1462"/>
      <c r="C46" s="1462"/>
      <c r="D46" s="1462"/>
      <c r="E46" s="1462"/>
      <c r="F46" s="1462"/>
      <c r="G46" s="1462"/>
      <c r="H46" s="1460" t="s">
        <v>166</v>
      </c>
      <c r="I46" s="1460"/>
      <c r="J46" s="1460" t="s">
        <v>165</v>
      </c>
      <c r="K46" s="1076" t="s">
        <v>501</v>
      </c>
      <c r="L46" s="1076" t="s">
        <v>484</v>
      </c>
    </row>
    <row r="47" spans="1:12" x14ac:dyDescent="0.2">
      <c r="A47" s="1462"/>
      <c r="B47" s="1462"/>
      <c r="C47" s="1462"/>
      <c r="D47" s="1462"/>
      <c r="E47" s="1462"/>
      <c r="F47" s="1462"/>
      <c r="G47" s="1462"/>
      <c r="H47" s="1460"/>
      <c r="I47" s="1460"/>
      <c r="J47" s="1460"/>
      <c r="K47" s="1110" t="s">
        <v>451</v>
      </c>
      <c r="L47" s="1026" t="s">
        <v>451</v>
      </c>
    </row>
    <row r="48" spans="1:12" x14ac:dyDescent="0.2">
      <c r="A48" s="1244"/>
      <c r="B48" s="942"/>
      <c r="C48" s="979"/>
      <c r="D48" s="942"/>
      <c r="E48" s="942"/>
      <c r="F48" s="942"/>
      <c r="G48" s="937"/>
      <c r="H48" s="1521"/>
      <c r="I48" s="1521"/>
      <c r="J48" s="1113"/>
      <c r="K48" s="1256"/>
      <c r="L48" s="1138">
        <f>ROUND(K48*H48,4)</f>
        <v>0</v>
      </c>
    </row>
    <row r="49" spans="1:12" x14ac:dyDescent="0.2">
      <c r="A49" s="1114"/>
      <c r="B49" s="979"/>
      <c r="C49" s="979"/>
      <c r="D49" s="942"/>
      <c r="E49" s="942"/>
      <c r="F49" s="942"/>
      <c r="G49" s="937"/>
      <c r="H49" s="1495"/>
      <c r="I49" s="1495"/>
      <c r="J49" s="1113"/>
      <c r="K49" s="1256"/>
      <c r="L49" s="1138">
        <f>ROUND(K49*H49,4)</f>
        <v>0</v>
      </c>
    </row>
    <row r="50" spans="1:12" x14ac:dyDescent="0.2">
      <c r="A50" s="1114"/>
      <c r="B50" s="979"/>
      <c r="C50" s="979"/>
      <c r="D50" s="942"/>
      <c r="E50" s="942"/>
      <c r="F50" s="942"/>
      <c r="G50" s="937"/>
      <c r="H50" s="1495"/>
      <c r="I50" s="1495"/>
      <c r="J50" s="1113"/>
      <c r="K50" s="1256"/>
      <c r="L50" s="1138">
        <f>ROUND(K50*H50,4)</f>
        <v>0</v>
      </c>
    </row>
    <row r="51" spans="1:12" x14ac:dyDescent="0.2">
      <c r="A51" s="1114"/>
      <c r="B51" s="979"/>
      <c r="C51" s="979">
        <f>-C49</f>
        <v>0</v>
      </c>
      <c r="D51" s="942"/>
      <c r="E51" s="942"/>
      <c r="F51" s="942"/>
      <c r="G51" s="937"/>
      <c r="H51" s="1495"/>
      <c r="I51" s="1495"/>
      <c r="J51" s="1113"/>
      <c r="K51" s="1256"/>
      <c r="L51" s="1138">
        <f>ROUND(K51*H51,4)</f>
        <v>0</v>
      </c>
    </row>
    <row r="52" spans="1:12" x14ac:dyDescent="0.2">
      <c r="A52" s="1114"/>
      <c r="B52" s="979"/>
      <c r="C52" s="979"/>
      <c r="D52" s="1083"/>
      <c r="E52" s="1083"/>
      <c r="F52" s="1083"/>
      <c r="G52" s="1115"/>
      <c r="H52" s="1512"/>
      <c r="I52" s="1512"/>
      <c r="J52" s="1113"/>
      <c r="K52" s="1256"/>
      <c r="L52" s="1138">
        <f>ROUND(K52*H52,4)</f>
        <v>0</v>
      </c>
    </row>
    <row r="53" spans="1:12" x14ac:dyDescent="0.2">
      <c r="A53" s="1454" t="s">
        <v>502</v>
      </c>
      <c r="B53" s="1454"/>
      <c r="C53" s="1454"/>
      <c r="D53" s="1454"/>
      <c r="E53" s="1454"/>
      <c r="F53" s="1454"/>
      <c r="G53" s="1454"/>
      <c r="H53" s="1454"/>
      <c r="I53" s="1454"/>
      <c r="J53" s="1454"/>
      <c r="K53" s="1454"/>
      <c r="L53" s="1108">
        <f>ROUND(SUM(L48:L52),4)</f>
        <v>0</v>
      </c>
    </row>
    <row r="54" spans="1:12" x14ac:dyDescent="0.2">
      <c r="A54" s="932"/>
      <c r="B54" s="932"/>
      <c r="C54" s="932"/>
      <c r="D54" s="932"/>
      <c r="E54" s="932"/>
      <c r="F54" s="932"/>
      <c r="G54" s="932"/>
      <c r="H54" s="932"/>
      <c r="I54" s="932"/>
      <c r="J54" s="910"/>
      <c r="K54" s="1117"/>
      <c r="L54" s="1118"/>
    </row>
    <row r="55" spans="1:12" ht="13.9" customHeight="1" x14ac:dyDescent="0.2">
      <c r="A55" s="1462" t="s">
        <v>503</v>
      </c>
      <c r="B55" s="1462"/>
      <c r="C55" s="1462"/>
      <c r="D55" s="1462"/>
      <c r="E55" s="1462"/>
      <c r="F55" s="1462"/>
      <c r="G55" s="1452" t="s">
        <v>504</v>
      </c>
      <c r="H55" s="1460" t="s">
        <v>505</v>
      </c>
      <c r="I55" s="1460"/>
      <c r="J55" s="1460"/>
      <c r="K55" s="1460"/>
      <c r="L55" s="1460" t="s">
        <v>506</v>
      </c>
    </row>
    <row r="56" spans="1:12" x14ac:dyDescent="0.2">
      <c r="A56" s="1462"/>
      <c r="B56" s="1462"/>
      <c r="C56" s="1462"/>
      <c r="D56" s="1462"/>
      <c r="E56" s="1462"/>
      <c r="F56" s="1462"/>
      <c r="G56" s="1452"/>
      <c r="H56" s="944" t="s">
        <v>112</v>
      </c>
      <c r="I56" s="1095" t="s">
        <v>380</v>
      </c>
      <c r="J56" s="1026" t="s">
        <v>383</v>
      </c>
      <c r="K56" s="1110" t="s">
        <v>385</v>
      </c>
      <c r="L56" s="1460"/>
    </row>
    <row r="57" spans="1:12" x14ac:dyDescent="0.2">
      <c r="A57" s="1462"/>
      <c r="B57" s="1462"/>
      <c r="C57" s="1462"/>
      <c r="D57" s="1462"/>
      <c r="E57" s="1462"/>
      <c r="F57" s="1462"/>
      <c r="G57" s="1452"/>
      <c r="H57" s="943" t="s">
        <v>507</v>
      </c>
      <c r="I57" s="1119"/>
      <c r="J57" s="1119"/>
      <c r="K57" s="1119"/>
      <c r="L57" s="1460"/>
    </row>
    <row r="58" spans="1:12" x14ac:dyDescent="0.2">
      <c r="A58" s="1488"/>
      <c r="B58" s="1489"/>
      <c r="C58" s="1490"/>
      <c r="D58" s="1502"/>
      <c r="E58" s="1502"/>
      <c r="F58" s="1503"/>
      <c r="G58" s="1493">
        <f>ROUND(H48/1000,5)</f>
        <v>0</v>
      </c>
      <c r="H58" s="1120" t="s">
        <v>508</v>
      </c>
      <c r="I58" s="1121"/>
      <c r="J58" s="1121"/>
      <c r="K58" s="1121"/>
      <c r="L58" s="1494">
        <f>ROUND(G58*($I$57*I59+$J$57*J59+$K$57*K59),4)</f>
        <v>0</v>
      </c>
    </row>
    <row r="59" spans="1:12" x14ac:dyDescent="0.2">
      <c r="A59" s="1488"/>
      <c r="B59" s="1489"/>
      <c r="C59" s="1490"/>
      <c r="D59" s="1502"/>
      <c r="E59" s="1502"/>
      <c r="F59" s="1503"/>
      <c r="G59" s="1493"/>
      <c r="H59" s="1122" t="s">
        <v>509</v>
      </c>
      <c r="I59" s="1123"/>
      <c r="J59" s="1123"/>
      <c r="K59" s="1123"/>
      <c r="L59" s="1494"/>
    </row>
    <row r="60" spans="1:12" x14ac:dyDescent="0.2">
      <c r="A60" s="1043"/>
      <c r="B60" s="958"/>
      <c r="C60" s="979"/>
      <c r="D60" s="1151"/>
      <c r="E60" s="1151"/>
      <c r="F60" s="1141"/>
      <c r="G60" s="1112"/>
      <c r="H60" s="1235"/>
      <c r="I60" s="1236"/>
      <c r="J60" s="961"/>
      <c r="K60" s="1116"/>
      <c r="L60" s="986"/>
    </row>
    <row r="61" spans="1:12" x14ac:dyDescent="0.2">
      <c r="A61" s="1114"/>
      <c r="B61" s="979"/>
      <c r="C61" s="979"/>
      <c r="D61" s="1083"/>
      <c r="E61" s="1083"/>
      <c r="F61" s="1083"/>
      <c r="G61" s="1135"/>
      <c r="H61" s="1247"/>
      <c r="I61" s="1247"/>
      <c r="J61" s="1137"/>
      <c r="K61" s="1044"/>
      <c r="L61" s="1138"/>
    </row>
    <row r="62" spans="1:12" x14ac:dyDescent="0.2">
      <c r="A62" s="1454" t="s">
        <v>510</v>
      </c>
      <c r="B62" s="1454"/>
      <c r="C62" s="1454"/>
      <c r="D62" s="1454"/>
      <c r="E62" s="1454"/>
      <c r="F62" s="1454"/>
      <c r="G62" s="1454"/>
      <c r="H62" s="1454"/>
      <c r="I62" s="1454"/>
      <c r="J62" s="1454"/>
      <c r="K62" s="1454"/>
      <c r="L62" s="1025">
        <f>ROUND(SUM(L58:L61),4)</f>
        <v>0</v>
      </c>
    </row>
    <row r="63" spans="1:12" x14ac:dyDescent="0.2">
      <c r="A63" s="1049"/>
      <c r="B63" s="1049"/>
      <c r="C63" s="1049"/>
      <c r="D63" s="1049"/>
      <c r="E63" s="1049"/>
      <c r="F63" s="1049"/>
      <c r="G63" s="932"/>
      <c r="H63" s="1050"/>
      <c r="I63" s="1050"/>
      <c r="J63" s="1051"/>
      <c r="K63" s="1052"/>
      <c r="L63" s="1053"/>
    </row>
    <row r="64" spans="1:12" x14ac:dyDescent="0.2">
      <c r="A64" s="1454" t="s">
        <v>460</v>
      </c>
      <c r="B64" s="1454"/>
      <c r="C64" s="1454"/>
      <c r="D64" s="1454"/>
      <c r="E64" s="1454"/>
      <c r="F64" s="1454"/>
      <c r="G64" s="1454"/>
      <c r="H64" s="1454"/>
      <c r="I64" s="1454"/>
      <c r="J64" s="1454"/>
      <c r="K64" s="1454"/>
      <c r="L64" s="1025">
        <f>ROUND(L44+L53+L62,4)</f>
        <v>0.80979999999999996</v>
      </c>
    </row>
    <row r="65" spans="1:12" x14ac:dyDescent="0.2">
      <c r="A65" s="1455" t="s">
        <v>461</v>
      </c>
      <c r="B65" s="1455"/>
      <c r="C65" s="1455"/>
      <c r="D65" s="1455"/>
      <c r="E65" s="1455"/>
      <c r="F65" s="1455"/>
      <c r="G65" s="1455"/>
      <c r="H65" s="1455"/>
      <c r="I65" s="1455"/>
      <c r="J65" s="1455"/>
      <c r="K65" s="1055">
        <v>0.25569999999999998</v>
      </c>
      <c r="L65" s="1025">
        <f>ROUND(L64*K65,4)</f>
        <v>0.20710000000000001</v>
      </c>
    </row>
    <row r="66" spans="1:12" x14ac:dyDescent="0.2">
      <c r="A66" s="1456" t="s">
        <v>462</v>
      </c>
      <c r="B66" s="1456"/>
      <c r="C66" s="1456"/>
      <c r="D66" s="1456"/>
      <c r="E66" s="1456"/>
      <c r="F66" s="1456"/>
      <c r="G66" s="1456"/>
      <c r="H66" s="1456"/>
      <c r="I66" s="1456"/>
      <c r="J66" s="1456"/>
      <c r="K66" s="1456"/>
      <c r="L66" s="1126">
        <f>ROUND(L64+L65,2)</f>
        <v>1.02</v>
      </c>
    </row>
    <row r="67" spans="1:12" x14ac:dyDescent="0.2">
      <c r="A67" s="1058"/>
      <c r="B67" s="1058"/>
      <c r="C67" s="1058"/>
      <c r="D67" s="1058"/>
      <c r="E67" s="1058"/>
      <c r="F67" s="1058"/>
      <c r="G67" s="1058"/>
      <c r="H67" s="1058"/>
      <c r="I67" s="1058"/>
      <c r="J67" s="1058"/>
      <c r="K67" s="1058"/>
      <c r="L67" s="1058"/>
    </row>
    <row r="68" spans="1:12" ht="28.5" customHeight="1" x14ac:dyDescent="0.2">
      <c r="A68" s="1059" t="s">
        <v>463</v>
      </c>
      <c r="B68" s="1060"/>
      <c r="C68" s="1518" t="s">
        <v>619</v>
      </c>
      <c r="D68" s="1518"/>
      <c r="E68" s="1518"/>
      <c r="F68" s="1518"/>
      <c r="G68" s="1518"/>
      <c r="H68" s="1518"/>
      <c r="I68" s="1518"/>
      <c r="J68" s="1518"/>
      <c r="K68" s="1518"/>
      <c r="L68" s="1518"/>
    </row>
    <row r="69" spans="1:12" ht="13.9" customHeight="1" x14ac:dyDescent="0.2">
      <c r="A69" s="1210"/>
      <c r="B69" s="1184"/>
      <c r="C69" s="1519" t="s">
        <v>575</v>
      </c>
      <c r="D69" s="1519"/>
      <c r="E69" s="1519"/>
      <c r="F69" s="1519"/>
      <c r="G69" s="1519"/>
      <c r="H69" s="1519"/>
      <c r="I69" s="1519"/>
      <c r="J69" s="1519"/>
      <c r="K69" s="1519"/>
      <c r="L69" s="1519"/>
    </row>
    <row r="70" spans="1:12" x14ac:dyDescent="0.2">
      <c r="A70" s="1071"/>
      <c r="B70" s="1129"/>
      <c r="C70" s="1129"/>
      <c r="D70" s="1129"/>
      <c r="E70" s="1129"/>
      <c r="F70" s="1129"/>
      <c r="G70" s="1129"/>
      <c r="H70" s="1129"/>
      <c r="I70" s="1129"/>
      <c r="J70" s="1129"/>
      <c r="K70" s="1129"/>
      <c r="L70" s="1254"/>
    </row>
  </sheetData>
  <mergeCells count="51">
    <mergeCell ref="A1:L1"/>
    <mergeCell ref="A2:L2"/>
    <mergeCell ref="A3:L3"/>
    <mergeCell ref="A4:L4"/>
    <mergeCell ref="A5:K5"/>
    <mergeCell ref="A6:K6"/>
    <mergeCell ref="A7:K7"/>
    <mergeCell ref="L7:L8"/>
    <mergeCell ref="A10:L10"/>
    <mergeCell ref="A12:D12"/>
    <mergeCell ref="E12:L12"/>
    <mergeCell ref="A15:L16"/>
    <mergeCell ref="E18:J18"/>
    <mergeCell ref="A20:F21"/>
    <mergeCell ref="G20:G21"/>
    <mergeCell ref="H20:I20"/>
    <mergeCell ref="J20:K20"/>
    <mergeCell ref="D22:F22"/>
    <mergeCell ref="A29:K29"/>
    <mergeCell ref="A31:I32"/>
    <mergeCell ref="J31:J32"/>
    <mergeCell ref="K31:K32"/>
    <mergeCell ref="A37:K37"/>
    <mergeCell ref="A44:H44"/>
    <mergeCell ref="I44:K44"/>
    <mergeCell ref="A46:G47"/>
    <mergeCell ref="H46:I47"/>
    <mergeCell ref="J46:J47"/>
    <mergeCell ref="H48:I48"/>
    <mergeCell ref="H49:I49"/>
    <mergeCell ref="H50:I50"/>
    <mergeCell ref="H51:I51"/>
    <mergeCell ref="H52:I52"/>
    <mergeCell ref="A53:K53"/>
    <mergeCell ref="A55:F57"/>
    <mergeCell ref="G55:G57"/>
    <mergeCell ref="H55:K55"/>
    <mergeCell ref="L55:L57"/>
    <mergeCell ref="A66:K66"/>
    <mergeCell ref="C68:L68"/>
    <mergeCell ref="C69:L69"/>
    <mergeCell ref="G58:G59"/>
    <mergeCell ref="L58:L59"/>
    <mergeCell ref="A62:K62"/>
    <mergeCell ref="A64:K64"/>
    <mergeCell ref="A65:J65"/>
    <mergeCell ref="A58:A59"/>
    <mergeCell ref="B58:B59"/>
    <mergeCell ref="C58:C59"/>
    <mergeCell ref="D58:E59"/>
    <mergeCell ref="F58:F59"/>
  </mergeCells>
  <dataValidations count="1">
    <dataValidation allowBlank="1" showInputMessage="1" showErrorMessage="1" prompt="Clique duas vezes sobre o número do item para ser direcionado à Planilha Orçamentária." sqref="D18" xr:uid="{00000000-0002-0000-1E00-000000000000}">
      <formula1>0</formula1>
      <formula2>0</formula2>
    </dataValidation>
  </dataValidations>
  <printOptions horizontalCentered="1" verticalCentered="1"/>
  <pageMargins left="0.51180555555555496" right="0.51180555555555496" top="0.78749999999999998" bottom="0.78749999999999998" header="0.51180555555555496" footer="0.51180555555555496"/>
  <pageSetup paperSize="9" scale="73" firstPageNumber="0" orientation="portrait"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L72"/>
  <sheetViews>
    <sheetView topLeftCell="A61" zoomScale="83" zoomScaleNormal="83" workbookViewId="0">
      <selection activeCell="P139" sqref="P139"/>
    </sheetView>
  </sheetViews>
  <sheetFormatPr defaultRowHeight="15" x14ac:dyDescent="0.2"/>
  <cols>
    <col min="1" max="2" width="7.6640625" style="902" customWidth="1"/>
    <col min="3" max="3" width="1.74609375" style="902" customWidth="1"/>
    <col min="4" max="4" width="3.765625" style="902" customWidth="1"/>
    <col min="5" max="5" width="23.67578125" style="902" customWidth="1"/>
    <col min="6" max="6" width="12.64453125" style="902" customWidth="1"/>
    <col min="7" max="7" width="8.7421875" style="902" customWidth="1"/>
    <col min="8" max="8" width="9.28125" style="902" customWidth="1"/>
    <col min="9" max="11" width="8.7421875" style="902" customWidth="1"/>
    <col min="12" max="12" width="10.76171875" style="902" customWidth="1"/>
    <col min="13" max="1025" width="8.7421875" customWidth="1"/>
  </cols>
  <sheetData>
    <row r="1" spans="1:12" ht="9" customHeight="1" x14ac:dyDescent="0.2">
      <c r="A1" s="1474"/>
      <c r="B1" s="1474"/>
      <c r="C1" s="1474"/>
      <c r="D1" s="1474"/>
      <c r="E1" s="1474"/>
      <c r="F1" s="1474"/>
      <c r="G1" s="1474"/>
      <c r="H1" s="1474"/>
      <c r="I1" s="1474"/>
      <c r="J1" s="1474"/>
      <c r="K1" s="1474"/>
      <c r="L1" s="1474"/>
    </row>
    <row r="2" spans="1:12" x14ac:dyDescent="0.2">
      <c r="A2" s="1475" t="s">
        <v>629</v>
      </c>
      <c r="B2" s="1475"/>
      <c r="C2" s="1475"/>
      <c r="D2" s="1475"/>
      <c r="E2" s="1475"/>
      <c r="F2" s="1475"/>
      <c r="G2" s="1475"/>
      <c r="H2" s="1475"/>
      <c r="I2" s="1475"/>
      <c r="J2" s="1475"/>
      <c r="K2" s="1475"/>
      <c r="L2" s="1475"/>
    </row>
    <row r="3" spans="1:12" ht="9" customHeight="1" x14ac:dyDescent="0.2">
      <c r="A3" s="1474"/>
      <c r="B3" s="1474"/>
      <c r="C3" s="1474"/>
      <c r="D3" s="1474"/>
      <c r="E3" s="1474"/>
      <c r="F3" s="1474"/>
      <c r="G3" s="1474"/>
      <c r="H3" s="1474"/>
      <c r="I3" s="1474"/>
      <c r="J3" s="1474"/>
      <c r="K3" s="1474"/>
      <c r="L3" s="1474"/>
    </row>
    <row r="4" spans="1:12" ht="10.9" customHeight="1" x14ac:dyDescent="0.2">
      <c r="A4" s="1476"/>
      <c r="B4" s="1476"/>
      <c r="C4" s="1476"/>
      <c r="D4" s="1476"/>
      <c r="E4" s="1476"/>
      <c r="F4" s="1476"/>
      <c r="G4" s="1476"/>
      <c r="H4" s="1476"/>
      <c r="I4" s="1476"/>
      <c r="J4" s="1476"/>
      <c r="K4" s="1476"/>
      <c r="L4" s="1476"/>
    </row>
    <row r="5" spans="1:12" x14ac:dyDescent="0.2">
      <c r="A5" s="1477"/>
      <c r="B5" s="1477"/>
      <c r="C5" s="1477"/>
      <c r="D5" s="1477"/>
      <c r="E5" s="1477"/>
      <c r="F5" s="1477"/>
      <c r="G5" s="1477"/>
      <c r="H5" s="1477"/>
      <c r="I5" s="1477"/>
      <c r="J5" s="1477"/>
      <c r="K5" s="1477"/>
      <c r="L5" s="903" t="s">
        <v>419</v>
      </c>
    </row>
    <row r="6" spans="1:12" ht="9" customHeight="1" x14ac:dyDescent="0.2">
      <c r="A6" s="1469"/>
      <c r="B6" s="1469"/>
      <c r="C6" s="1469"/>
      <c r="D6" s="1469"/>
      <c r="E6" s="1469"/>
      <c r="F6" s="1469"/>
      <c r="G6" s="1469"/>
      <c r="H6" s="1469"/>
      <c r="I6" s="1469"/>
      <c r="J6" s="1469"/>
      <c r="K6" s="1469"/>
      <c r="L6" s="1075"/>
    </row>
    <row r="7" spans="1:12" ht="13.9" customHeight="1" x14ac:dyDescent="0.2">
      <c r="A7" s="1469"/>
      <c r="B7" s="1469"/>
      <c r="C7" s="1469"/>
      <c r="D7" s="1469"/>
      <c r="E7" s="1469"/>
      <c r="F7" s="1469"/>
      <c r="G7" s="1469"/>
      <c r="H7" s="1469"/>
      <c r="I7" s="1469"/>
      <c r="J7" s="1469"/>
      <c r="K7" s="1469"/>
      <c r="L7" s="1470" t="s">
        <v>218</v>
      </c>
    </row>
    <row r="8" spans="1:12" x14ac:dyDescent="0.2">
      <c r="A8" s="904"/>
      <c r="B8" s="905"/>
      <c r="C8" s="906"/>
      <c r="D8" s="907"/>
      <c r="E8" s="908"/>
      <c r="F8" s="906"/>
      <c r="G8" s="906"/>
      <c r="H8" s="906"/>
      <c r="I8" s="906"/>
      <c r="J8" s="906"/>
      <c r="K8" s="909"/>
      <c r="L8" s="1470"/>
    </row>
    <row r="9" spans="1:12" x14ac:dyDescent="0.2">
      <c r="A9" s="910"/>
      <c r="B9" s="910"/>
      <c r="C9" s="911"/>
      <c r="D9" s="912"/>
      <c r="E9" s="912"/>
      <c r="F9" s="913"/>
      <c r="G9" s="913"/>
      <c r="H9" s="913"/>
      <c r="I9" s="913"/>
      <c r="J9" s="913"/>
      <c r="K9" s="913"/>
      <c r="L9" s="914"/>
    </row>
    <row r="10" spans="1:12" ht="9.9499999999999993" customHeight="1" x14ac:dyDescent="0.2">
      <c r="A10" s="1471"/>
      <c r="B10" s="1471"/>
      <c r="C10" s="1471"/>
      <c r="D10" s="1471"/>
      <c r="E10" s="1471"/>
      <c r="F10" s="1471"/>
      <c r="G10" s="1471"/>
      <c r="H10" s="1471"/>
      <c r="I10" s="1471"/>
      <c r="J10" s="1471"/>
      <c r="K10" s="1471"/>
      <c r="L10" s="1471"/>
    </row>
    <row r="11" spans="1:12" ht="12.6" customHeight="1" x14ac:dyDescent="0.2">
      <c r="A11" s="915"/>
      <c r="B11" s="912"/>
      <c r="C11" s="911"/>
      <c r="D11" s="912"/>
      <c r="E11" s="911"/>
      <c r="F11" s="911"/>
      <c r="G11" s="911"/>
      <c r="H11" s="911"/>
      <c r="I11" s="911"/>
      <c r="J11" s="911"/>
      <c r="K11" s="911"/>
      <c r="L11" s="916"/>
    </row>
    <row r="12" spans="1:12" x14ac:dyDescent="0.2">
      <c r="A12" s="1472" t="s">
        <v>421</v>
      </c>
      <c r="B12" s="1472"/>
      <c r="C12" s="1472"/>
      <c r="D12" s="1472"/>
      <c r="E12" s="1542" t="s">
        <v>648</v>
      </c>
      <c r="F12" s="1542"/>
      <c r="G12" s="1542"/>
      <c r="H12" s="1542"/>
      <c r="I12" s="1542"/>
      <c r="J12" s="1542"/>
      <c r="K12" s="1542"/>
      <c r="L12" s="1542"/>
    </row>
    <row r="13" spans="1:12" x14ac:dyDescent="0.2">
      <c r="A13" s="920"/>
      <c r="B13" s="907"/>
      <c r="C13" s="921"/>
      <c r="D13" s="907"/>
      <c r="E13" s="907"/>
      <c r="F13" s="906"/>
      <c r="G13" s="906"/>
      <c r="H13" s="906"/>
      <c r="I13" s="906"/>
      <c r="J13" s="906"/>
      <c r="K13" s="906"/>
      <c r="L13" s="922"/>
    </row>
    <row r="14" spans="1:12" x14ac:dyDescent="0.2">
      <c r="A14" s="913"/>
      <c r="B14" s="913"/>
      <c r="C14" s="913"/>
      <c r="D14" s="913"/>
      <c r="E14" s="913"/>
      <c r="F14" s="913"/>
      <c r="G14" s="913"/>
      <c r="H14" s="913"/>
      <c r="I14" s="913"/>
      <c r="J14" s="913"/>
      <c r="K14" s="913"/>
      <c r="L14" s="914"/>
    </row>
    <row r="15" spans="1:12" x14ac:dyDescent="0.2">
      <c r="A15" s="1473" t="s">
        <v>422</v>
      </c>
      <c r="B15" s="1473"/>
      <c r="C15" s="1473"/>
      <c r="D15" s="1473"/>
      <c r="E15" s="1473"/>
      <c r="F15" s="1473"/>
      <c r="G15" s="1473"/>
      <c r="H15" s="1473"/>
      <c r="I15" s="1473"/>
      <c r="J15" s="1473"/>
      <c r="K15" s="1473"/>
      <c r="L15" s="1473"/>
    </row>
    <row r="16" spans="1:12" x14ac:dyDescent="0.2">
      <c r="A16" s="1473"/>
      <c r="B16" s="1473"/>
      <c r="C16" s="1473"/>
      <c r="D16" s="1473"/>
      <c r="E16" s="1473"/>
      <c r="F16" s="1473"/>
      <c r="G16" s="1473"/>
      <c r="H16" s="1473"/>
      <c r="I16" s="1473"/>
      <c r="J16" s="1473"/>
      <c r="K16" s="1473"/>
      <c r="L16" s="1473"/>
    </row>
    <row r="17" spans="1:12" x14ac:dyDescent="0.2">
      <c r="A17" s="923"/>
      <c r="B17" s="923"/>
      <c r="C17" s="923"/>
      <c r="D17" s="923"/>
      <c r="E17" s="923"/>
      <c r="F17" s="923"/>
      <c r="G17" s="923"/>
      <c r="H17" s="923"/>
      <c r="I17" s="923"/>
      <c r="J17" s="923"/>
      <c r="K17" s="923"/>
      <c r="L17" s="923"/>
    </row>
    <row r="18" spans="1:12" ht="21.75" customHeight="1" x14ac:dyDescent="0.2">
      <c r="A18" s="924" t="s">
        <v>423</v>
      </c>
      <c r="B18" s="925"/>
      <c r="C18" s="925"/>
      <c r="D18" s="926" t="s">
        <v>218</v>
      </c>
      <c r="E18" s="1498" t="s">
        <v>620</v>
      </c>
      <c r="F18" s="1498"/>
      <c r="G18" s="1498"/>
      <c r="H18" s="1498"/>
      <c r="I18" s="1498"/>
      <c r="J18" s="1498"/>
      <c r="K18" s="928" t="s">
        <v>425</v>
      </c>
      <c r="L18" s="929" t="s">
        <v>581</v>
      </c>
    </row>
    <row r="19" spans="1:12" x14ac:dyDescent="0.2">
      <c r="A19" s="910"/>
      <c r="B19" s="910"/>
      <c r="C19" s="910"/>
      <c r="D19" s="910"/>
      <c r="E19" s="910"/>
      <c r="F19" s="910"/>
      <c r="G19" s="910"/>
      <c r="H19" s="910"/>
      <c r="I19" s="910"/>
      <c r="J19" s="910"/>
      <c r="K19" s="910"/>
      <c r="L19" s="910"/>
    </row>
    <row r="20" spans="1:12" x14ac:dyDescent="0.2">
      <c r="A20" s="1462" t="s">
        <v>434</v>
      </c>
      <c r="B20" s="1462"/>
      <c r="C20" s="1462"/>
      <c r="D20" s="1462"/>
      <c r="E20" s="1462"/>
      <c r="F20" s="1462"/>
      <c r="G20" s="1460" t="s">
        <v>166</v>
      </c>
      <c r="H20" s="1460" t="s">
        <v>362</v>
      </c>
      <c r="I20" s="1460"/>
      <c r="J20" s="1500" t="s">
        <v>483</v>
      </c>
      <c r="K20" s="1500"/>
      <c r="L20" s="1076" t="s">
        <v>484</v>
      </c>
    </row>
    <row r="21" spans="1:12" x14ac:dyDescent="0.2">
      <c r="A21" s="1462"/>
      <c r="B21" s="1462"/>
      <c r="C21" s="1462"/>
      <c r="D21" s="1462"/>
      <c r="E21" s="1462"/>
      <c r="F21" s="1462"/>
      <c r="G21" s="1460"/>
      <c r="H21" s="943" t="s">
        <v>485</v>
      </c>
      <c r="I21" s="1077" t="s">
        <v>486</v>
      </c>
      <c r="J21" s="943" t="s">
        <v>485</v>
      </c>
      <c r="K21" s="1077" t="s">
        <v>486</v>
      </c>
      <c r="L21" s="1026" t="s">
        <v>487</v>
      </c>
    </row>
    <row r="22" spans="1:12" ht="21.75" customHeight="1" x14ac:dyDescent="0.2">
      <c r="A22" s="1043" t="s">
        <v>379</v>
      </c>
      <c r="B22" s="1130" t="s">
        <v>633</v>
      </c>
      <c r="C22" s="979" t="s">
        <v>442</v>
      </c>
      <c r="D22" s="1520" t="s">
        <v>632</v>
      </c>
      <c r="E22" s="1520"/>
      <c r="F22" s="1520"/>
      <c r="G22" s="1112">
        <v>2</v>
      </c>
      <c r="H22" s="1116">
        <v>0.7</v>
      </c>
      <c r="I22" s="961">
        <v>0.3</v>
      </c>
      <c r="J22" s="1138">
        <v>204.17570000000001</v>
      </c>
      <c r="K22" s="1138">
        <v>60.8142</v>
      </c>
      <c r="L22" s="1138">
        <f t="shared" ref="L22:L28" si="0">ROUND((G22*H22*J22)+(G22*I22*K22),4)</f>
        <v>322.33449999999999</v>
      </c>
    </row>
    <row r="23" spans="1:12" ht="20.25" customHeight="1" x14ac:dyDescent="0.2">
      <c r="A23" s="1043" t="s">
        <v>379</v>
      </c>
      <c r="B23" s="1130" t="s">
        <v>655</v>
      </c>
      <c r="C23" s="979" t="s">
        <v>442</v>
      </c>
      <c r="D23" s="1519" t="s">
        <v>656</v>
      </c>
      <c r="E23" s="1519"/>
      <c r="F23" s="1519"/>
      <c r="G23" s="1112">
        <v>1</v>
      </c>
      <c r="H23" s="1116">
        <v>0.71</v>
      </c>
      <c r="I23" s="961">
        <v>0.28999999999999998</v>
      </c>
      <c r="J23" s="1138">
        <v>2.8195000000000001</v>
      </c>
      <c r="K23" s="1138">
        <v>1.9599</v>
      </c>
      <c r="L23" s="1138">
        <f t="shared" si="0"/>
        <v>2.5701999999999998</v>
      </c>
    </row>
    <row r="24" spans="1:12" x14ac:dyDescent="0.2">
      <c r="A24" s="1043" t="s">
        <v>379</v>
      </c>
      <c r="B24" s="1130" t="s">
        <v>657</v>
      </c>
      <c r="C24" s="979" t="s">
        <v>442</v>
      </c>
      <c r="D24" s="1519" t="s">
        <v>658</v>
      </c>
      <c r="E24" s="1519"/>
      <c r="F24" s="1519"/>
      <c r="G24" s="1112">
        <v>1</v>
      </c>
      <c r="H24" s="1116">
        <v>0.41</v>
      </c>
      <c r="I24" s="961">
        <v>0.59</v>
      </c>
      <c r="J24" s="1138">
        <v>184.2696</v>
      </c>
      <c r="K24" s="1138">
        <v>79.578100000000006</v>
      </c>
      <c r="L24" s="1138">
        <f t="shared" si="0"/>
        <v>122.5016</v>
      </c>
    </row>
    <row r="25" spans="1:12" ht="21" customHeight="1" x14ac:dyDescent="0.2">
      <c r="A25" s="1043" t="s">
        <v>379</v>
      </c>
      <c r="B25" s="1131" t="s">
        <v>673</v>
      </c>
      <c r="C25" s="979" t="s">
        <v>442</v>
      </c>
      <c r="D25" s="1479" t="s">
        <v>674</v>
      </c>
      <c r="E25" s="1479"/>
      <c r="F25" s="1479"/>
      <c r="G25" s="1112">
        <v>1</v>
      </c>
      <c r="H25" s="1116">
        <v>1</v>
      </c>
      <c r="I25" s="961">
        <v>0</v>
      </c>
      <c r="J25" s="1138">
        <v>150.01669999999999</v>
      </c>
      <c r="K25" s="1138">
        <v>68.910399999999996</v>
      </c>
      <c r="L25" s="1138">
        <f t="shared" si="0"/>
        <v>150.01669999999999</v>
      </c>
    </row>
    <row r="26" spans="1:12" x14ac:dyDescent="0.2">
      <c r="A26" s="1043" t="s">
        <v>379</v>
      </c>
      <c r="B26" s="1130" t="s">
        <v>671</v>
      </c>
      <c r="C26" s="979" t="s">
        <v>442</v>
      </c>
      <c r="D26" s="1519" t="s">
        <v>672</v>
      </c>
      <c r="E26" s="1519"/>
      <c r="F26" s="1519"/>
      <c r="G26" s="1112">
        <v>1</v>
      </c>
      <c r="H26" s="1116">
        <v>0.71</v>
      </c>
      <c r="I26" s="961">
        <v>0.28999999999999998</v>
      </c>
      <c r="J26" s="1138">
        <v>89.639600000000002</v>
      </c>
      <c r="K26" s="1138">
        <v>34.623800000000003</v>
      </c>
      <c r="L26" s="1138">
        <f t="shared" si="0"/>
        <v>73.685000000000002</v>
      </c>
    </row>
    <row r="27" spans="1:12" x14ac:dyDescent="0.2">
      <c r="A27" s="1153"/>
      <c r="B27" s="942"/>
      <c r="C27" s="979"/>
      <c r="D27" s="942"/>
      <c r="E27" s="942"/>
      <c r="F27" s="942"/>
      <c r="G27" s="1112"/>
      <c r="H27" s="1116"/>
      <c r="I27" s="961"/>
      <c r="J27" s="1138"/>
      <c r="K27" s="1255"/>
      <c r="L27" s="1138">
        <f t="shared" si="0"/>
        <v>0</v>
      </c>
    </row>
    <row r="28" spans="1:12" x14ac:dyDescent="0.2">
      <c r="A28" s="1153"/>
      <c r="B28" s="942"/>
      <c r="C28" s="979"/>
      <c r="D28" s="942"/>
      <c r="E28" s="942"/>
      <c r="F28" s="942"/>
      <c r="G28" s="1096"/>
      <c r="H28" s="1116"/>
      <c r="I28" s="961"/>
      <c r="J28" s="1246"/>
      <c r="K28" s="1255"/>
      <c r="L28" s="1138">
        <f t="shared" si="0"/>
        <v>0</v>
      </c>
    </row>
    <row r="29" spans="1:12" x14ac:dyDescent="0.2">
      <c r="A29" s="1497" t="s">
        <v>488</v>
      </c>
      <c r="B29" s="1497"/>
      <c r="C29" s="1497"/>
      <c r="D29" s="1497"/>
      <c r="E29" s="1497"/>
      <c r="F29" s="1497"/>
      <c r="G29" s="1497"/>
      <c r="H29" s="1497"/>
      <c r="I29" s="1497"/>
      <c r="J29" s="1497"/>
      <c r="K29" s="1497"/>
      <c r="L29" s="1035">
        <f>ROUND(SUM(L22:L28),4)</f>
        <v>671.10799999999995</v>
      </c>
    </row>
    <row r="30" spans="1:12" x14ac:dyDescent="0.2">
      <c r="A30" s="930"/>
      <c r="B30" s="930"/>
      <c r="C30" s="930"/>
      <c r="D30" s="930"/>
      <c r="E30" s="930"/>
      <c r="F30" s="930"/>
      <c r="G30" s="930"/>
      <c r="H30" s="1023"/>
      <c r="I30" s="1023"/>
      <c r="J30" s="1023"/>
      <c r="K30" s="1023"/>
      <c r="L30" s="1023"/>
    </row>
    <row r="31" spans="1:12" ht="13.9" customHeight="1" x14ac:dyDescent="0.2">
      <c r="A31" s="1462" t="s">
        <v>447</v>
      </c>
      <c r="B31" s="1462"/>
      <c r="C31" s="1462"/>
      <c r="D31" s="1462"/>
      <c r="E31" s="1462"/>
      <c r="F31" s="1462"/>
      <c r="G31" s="1462"/>
      <c r="H31" s="1462"/>
      <c r="I31" s="1462"/>
      <c r="J31" s="1460" t="s">
        <v>166</v>
      </c>
      <c r="K31" s="1452" t="s">
        <v>489</v>
      </c>
      <c r="L31" s="1076" t="s">
        <v>449</v>
      </c>
    </row>
    <row r="32" spans="1:12" x14ac:dyDescent="0.2">
      <c r="A32" s="1462"/>
      <c r="B32" s="1462"/>
      <c r="C32" s="1462"/>
      <c r="D32" s="1462"/>
      <c r="E32" s="1462"/>
      <c r="F32" s="1462"/>
      <c r="G32" s="1462"/>
      <c r="H32" s="1462"/>
      <c r="I32" s="1462"/>
      <c r="J32" s="1460"/>
      <c r="K32" s="1452"/>
      <c r="L32" s="1026" t="s">
        <v>487</v>
      </c>
    </row>
    <row r="33" spans="1:12" x14ac:dyDescent="0.2">
      <c r="A33" s="1043" t="s">
        <v>379</v>
      </c>
      <c r="B33" s="1130" t="s">
        <v>713</v>
      </c>
      <c r="C33" s="979" t="s">
        <v>442</v>
      </c>
      <c r="D33" s="1525" t="s">
        <v>714</v>
      </c>
      <c r="E33" s="1525"/>
      <c r="F33" s="1525"/>
      <c r="G33" s="1525"/>
      <c r="H33" s="1525"/>
      <c r="I33" s="1525"/>
      <c r="J33" s="1080">
        <v>2</v>
      </c>
      <c r="K33" s="1256">
        <v>15.3812</v>
      </c>
      <c r="L33" s="1243">
        <f>ROUND(J33*K33,4)</f>
        <v>30.7624</v>
      </c>
    </row>
    <row r="34" spans="1:12" x14ac:dyDescent="0.2">
      <c r="A34" s="1043"/>
      <c r="B34" s="1130"/>
      <c r="C34" s="979"/>
      <c r="D34" s="942"/>
      <c r="E34" s="942"/>
      <c r="F34" s="942"/>
      <c r="G34" s="942"/>
      <c r="H34" s="942"/>
      <c r="I34" s="1144"/>
      <c r="J34" s="1080"/>
      <c r="K34" s="1256"/>
      <c r="L34" s="1243">
        <f>ROUND(J34*K34,4)</f>
        <v>0</v>
      </c>
    </row>
    <row r="35" spans="1:12" x14ac:dyDescent="0.2">
      <c r="A35" s="1043"/>
      <c r="B35" s="1130"/>
      <c r="C35" s="979"/>
      <c r="D35" s="942"/>
      <c r="E35" s="942"/>
      <c r="F35" s="942"/>
      <c r="G35" s="942"/>
      <c r="H35" s="942"/>
      <c r="I35" s="1144"/>
      <c r="J35" s="1080"/>
      <c r="K35" s="1256"/>
      <c r="L35" s="1243">
        <f>ROUND(J35*K35,4)</f>
        <v>0</v>
      </c>
    </row>
    <row r="36" spans="1:12" x14ac:dyDescent="0.2">
      <c r="A36" s="1153"/>
      <c r="B36" s="942"/>
      <c r="C36" s="979"/>
      <c r="D36" s="942"/>
      <c r="E36" s="942"/>
      <c r="F36" s="942"/>
      <c r="G36" s="910"/>
      <c r="H36" s="979"/>
      <c r="I36" s="1092"/>
      <c r="J36" s="1080"/>
      <c r="K36" s="1256"/>
      <c r="L36" s="1243">
        <f>ROUND(J36*K36,4)</f>
        <v>0</v>
      </c>
    </row>
    <row r="37" spans="1:12" x14ac:dyDescent="0.2">
      <c r="A37" s="1082"/>
      <c r="B37" s="1083"/>
      <c r="C37" s="1083"/>
      <c r="D37" s="1083"/>
      <c r="E37" s="1083"/>
      <c r="F37" s="1083"/>
      <c r="G37" s="905"/>
      <c r="H37" s="1077"/>
      <c r="I37" s="1095"/>
      <c r="J37" s="1085"/>
      <c r="K37" s="1256"/>
      <c r="L37" s="1243">
        <f>ROUND(J37*K37,4)</f>
        <v>0</v>
      </c>
    </row>
    <row r="38" spans="1:12" x14ac:dyDescent="0.2">
      <c r="A38" s="1497" t="s">
        <v>490</v>
      </c>
      <c r="B38" s="1497"/>
      <c r="C38" s="1497"/>
      <c r="D38" s="1497"/>
      <c r="E38" s="1497"/>
      <c r="F38" s="1497"/>
      <c r="G38" s="1497"/>
      <c r="H38" s="1497"/>
      <c r="I38" s="1497"/>
      <c r="J38" s="1497"/>
      <c r="K38" s="1497"/>
      <c r="L38" s="1035">
        <f>ROUND(SUM(L33:L37),4)</f>
        <v>30.7624</v>
      </c>
    </row>
    <row r="39" spans="1:12" x14ac:dyDescent="0.2">
      <c r="A39" s="930"/>
      <c r="B39" s="930"/>
      <c r="C39" s="930"/>
      <c r="D39" s="930"/>
      <c r="E39" s="930"/>
      <c r="F39" s="930"/>
      <c r="G39" s="930"/>
      <c r="H39" s="930"/>
      <c r="I39" s="930"/>
      <c r="J39" s="1023"/>
      <c r="K39" s="1023"/>
      <c r="L39" s="1023"/>
    </row>
    <row r="40" spans="1:12" x14ac:dyDescent="0.2">
      <c r="A40" s="930"/>
      <c r="B40" s="930"/>
      <c r="C40" s="930"/>
      <c r="D40" s="930"/>
      <c r="E40" s="930"/>
      <c r="F40" s="930"/>
      <c r="G40" s="930"/>
      <c r="H40" s="930"/>
      <c r="I40" s="930"/>
      <c r="J40" s="1023"/>
      <c r="K40" s="1100" t="s">
        <v>491</v>
      </c>
      <c r="L40" s="1101">
        <f>L29+L38</f>
        <v>701.8703999999999</v>
      </c>
    </row>
    <row r="41" spans="1:12" x14ac:dyDescent="0.2">
      <c r="A41" s="1102" t="s">
        <v>492</v>
      </c>
      <c r="B41" s="930"/>
      <c r="C41" s="930"/>
      <c r="D41" s="930"/>
      <c r="E41" s="930"/>
      <c r="F41" s="1103">
        <v>228.84</v>
      </c>
      <c r="G41" s="1257" t="str">
        <f>L18</f>
        <v>m³</v>
      </c>
      <c r="H41" s="1102"/>
      <c r="I41" s="930"/>
      <c r="J41" s="1105"/>
      <c r="K41" s="1106" t="s">
        <v>493</v>
      </c>
      <c r="L41" s="968">
        <f>ROUND(L40/F41,4)</f>
        <v>3.0670999999999999</v>
      </c>
    </row>
    <row r="42" spans="1:12" x14ac:dyDescent="0.2">
      <c r="A42" s="1102"/>
      <c r="B42" s="930" t="s">
        <v>494</v>
      </c>
      <c r="C42" s="930"/>
      <c r="D42" s="930"/>
      <c r="E42" s="930"/>
      <c r="F42" s="1103">
        <v>4.8980000000000003E-2</v>
      </c>
      <c r="G42" s="1104"/>
      <c r="H42" s="1102"/>
      <c r="I42" s="930"/>
      <c r="J42" s="1105"/>
      <c r="K42" s="1100" t="s">
        <v>495</v>
      </c>
      <c r="L42" s="968">
        <f>ROUND(L41*F42,4)</f>
        <v>0.1502</v>
      </c>
    </row>
    <row r="43" spans="1:12" x14ac:dyDescent="0.2">
      <c r="A43" s="1102"/>
      <c r="B43" s="930" t="s">
        <v>496</v>
      </c>
      <c r="C43" s="930"/>
      <c r="D43" s="930"/>
      <c r="E43" s="930"/>
      <c r="F43" s="1202"/>
      <c r="G43" s="1104"/>
      <c r="H43" s="1105"/>
      <c r="I43" s="1107"/>
      <c r="J43" s="1023"/>
      <c r="K43" s="1100" t="s">
        <v>497</v>
      </c>
      <c r="L43" s="968">
        <f>ROUND(L41*F43,4)</f>
        <v>0</v>
      </c>
    </row>
    <row r="44" spans="1:12" x14ac:dyDescent="0.2">
      <c r="A44" s="930"/>
      <c r="B44" s="930"/>
      <c r="C44" s="930"/>
      <c r="D44" s="930"/>
      <c r="E44" s="930"/>
      <c r="F44" s="930"/>
      <c r="G44" s="930"/>
      <c r="H44" s="930"/>
      <c r="I44" s="930"/>
      <c r="J44" s="1023"/>
      <c r="K44" s="1023"/>
      <c r="L44" s="1099"/>
    </row>
    <row r="45" spans="1:12" x14ac:dyDescent="0.2">
      <c r="A45" s="1462" t="s">
        <v>498</v>
      </c>
      <c r="B45" s="1462"/>
      <c r="C45" s="1462"/>
      <c r="D45" s="1462"/>
      <c r="E45" s="1462"/>
      <c r="F45" s="1462"/>
      <c r="G45" s="1462"/>
      <c r="H45" s="1462"/>
      <c r="I45" s="1456" t="s">
        <v>499</v>
      </c>
      <c r="J45" s="1456"/>
      <c r="K45" s="1456"/>
      <c r="L45" s="1108">
        <f>ROUND(SUM(L41:L44),4)</f>
        <v>3.2172999999999998</v>
      </c>
    </row>
    <row r="46" spans="1:12" x14ac:dyDescent="0.2">
      <c r="A46" s="910"/>
      <c r="B46" s="910"/>
      <c r="C46" s="910"/>
      <c r="D46" s="910"/>
      <c r="E46" s="910"/>
      <c r="F46" s="910"/>
      <c r="G46" s="1109"/>
      <c r="H46" s="1109"/>
      <c r="I46" s="933"/>
      <c r="J46" s="933"/>
      <c r="K46" s="933"/>
      <c r="L46" s="910"/>
    </row>
    <row r="47" spans="1:12" x14ac:dyDescent="0.2">
      <c r="A47" s="1462" t="s">
        <v>500</v>
      </c>
      <c r="B47" s="1462"/>
      <c r="C47" s="1462"/>
      <c r="D47" s="1462"/>
      <c r="E47" s="1462"/>
      <c r="F47" s="1462"/>
      <c r="G47" s="1462"/>
      <c r="H47" s="1460" t="s">
        <v>166</v>
      </c>
      <c r="I47" s="1460"/>
      <c r="J47" s="1460" t="s">
        <v>165</v>
      </c>
      <c r="K47" s="1076" t="s">
        <v>501</v>
      </c>
      <c r="L47" s="1076" t="s">
        <v>484</v>
      </c>
    </row>
    <row r="48" spans="1:12" x14ac:dyDescent="0.2">
      <c r="A48" s="1462"/>
      <c r="B48" s="1462"/>
      <c r="C48" s="1462"/>
      <c r="D48" s="1462"/>
      <c r="E48" s="1462"/>
      <c r="F48" s="1462"/>
      <c r="G48" s="1462"/>
      <c r="H48" s="1460"/>
      <c r="I48" s="1460"/>
      <c r="J48" s="1460"/>
      <c r="K48" s="1110" t="s">
        <v>451</v>
      </c>
      <c r="L48" s="1026" t="s">
        <v>451</v>
      </c>
    </row>
    <row r="49" spans="1:12" x14ac:dyDescent="0.2">
      <c r="A49" s="1244"/>
      <c r="B49" s="942"/>
      <c r="C49" s="979"/>
      <c r="D49" s="942"/>
      <c r="E49" s="942"/>
      <c r="F49" s="942"/>
      <c r="G49" s="937"/>
      <c r="H49" s="1521"/>
      <c r="I49" s="1521"/>
      <c r="J49" s="1113"/>
      <c r="K49" s="1256"/>
      <c r="L49" s="1138">
        <f>ROUND(K49*H49,4)</f>
        <v>0</v>
      </c>
    </row>
    <row r="50" spans="1:12" x14ac:dyDescent="0.2">
      <c r="A50" s="1114"/>
      <c r="B50" s="979"/>
      <c r="C50" s="979"/>
      <c r="D50" s="942"/>
      <c r="E50" s="942"/>
      <c r="F50" s="942"/>
      <c r="G50" s="937"/>
      <c r="H50" s="1495"/>
      <c r="I50" s="1495"/>
      <c r="J50" s="1113"/>
      <c r="K50" s="1256"/>
      <c r="L50" s="1138">
        <f>ROUND(K50*H50,4)</f>
        <v>0</v>
      </c>
    </row>
    <row r="51" spans="1:12" x14ac:dyDescent="0.2">
      <c r="A51" s="1114"/>
      <c r="B51" s="979"/>
      <c r="C51" s="979"/>
      <c r="D51" s="942"/>
      <c r="E51" s="942"/>
      <c r="F51" s="942"/>
      <c r="G51" s="937"/>
      <c r="H51" s="1495"/>
      <c r="I51" s="1495"/>
      <c r="J51" s="1113"/>
      <c r="K51" s="1256"/>
      <c r="L51" s="1138">
        <f>ROUND(K51*H51,4)</f>
        <v>0</v>
      </c>
    </row>
    <row r="52" spans="1:12" x14ac:dyDescent="0.2">
      <c r="A52" s="1114"/>
      <c r="B52" s="979"/>
      <c r="C52" s="979">
        <f>-C50</f>
        <v>0</v>
      </c>
      <c r="D52" s="942"/>
      <c r="E52" s="942"/>
      <c r="F52" s="942"/>
      <c r="G52" s="937"/>
      <c r="H52" s="1495"/>
      <c r="I52" s="1495"/>
      <c r="J52" s="1113"/>
      <c r="K52" s="1256"/>
      <c r="L52" s="1138">
        <f>ROUND(K52*H52,4)</f>
        <v>0</v>
      </c>
    </row>
    <row r="53" spans="1:12" x14ac:dyDescent="0.2">
      <c r="A53" s="1114"/>
      <c r="B53" s="979"/>
      <c r="C53" s="979"/>
      <c r="D53" s="1083"/>
      <c r="E53" s="1083"/>
      <c r="F53" s="1083"/>
      <c r="G53" s="1115"/>
      <c r="H53" s="1512"/>
      <c r="I53" s="1512"/>
      <c r="J53" s="1113"/>
      <c r="K53" s="1256"/>
      <c r="L53" s="1138">
        <f>ROUND(K53*H53,4)</f>
        <v>0</v>
      </c>
    </row>
    <row r="54" spans="1:12" x14ac:dyDescent="0.2">
      <c r="A54" s="1454" t="s">
        <v>502</v>
      </c>
      <c r="B54" s="1454"/>
      <c r="C54" s="1454"/>
      <c r="D54" s="1454"/>
      <c r="E54" s="1454"/>
      <c r="F54" s="1454"/>
      <c r="G54" s="1454"/>
      <c r="H54" s="1454"/>
      <c r="I54" s="1454"/>
      <c r="J54" s="1454"/>
      <c r="K54" s="1454"/>
      <c r="L54" s="1108">
        <f>ROUND(SUM(L49:L53),4)</f>
        <v>0</v>
      </c>
    </row>
    <row r="55" spans="1:12" ht="9" customHeight="1" x14ac:dyDescent="0.2">
      <c r="A55" s="932"/>
      <c r="B55" s="932"/>
      <c r="C55" s="932"/>
      <c r="D55" s="932"/>
      <c r="E55" s="932"/>
      <c r="F55" s="932"/>
      <c r="G55" s="932"/>
      <c r="H55" s="932"/>
      <c r="I55" s="932"/>
      <c r="J55" s="910"/>
      <c r="K55" s="1117"/>
      <c r="L55" s="1118"/>
    </row>
    <row r="56" spans="1:12" ht="13.9" customHeight="1" x14ac:dyDescent="0.2">
      <c r="A56" s="1462" t="s">
        <v>503</v>
      </c>
      <c r="B56" s="1462"/>
      <c r="C56" s="1462"/>
      <c r="D56" s="1462"/>
      <c r="E56" s="1462"/>
      <c r="F56" s="1462"/>
      <c r="G56" s="1452" t="s">
        <v>504</v>
      </c>
      <c r="H56" s="1460" t="s">
        <v>505</v>
      </c>
      <c r="I56" s="1460"/>
      <c r="J56" s="1460"/>
      <c r="K56" s="1460"/>
      <c r="L56" s="1460" t="s">
        <v>506</v>
      </c>
    </row>
    <row r="57" spans="1:12" x14ac:dyDescent="0.2">
      <c r="A57" s="1462"/>
      <c r="B57" s="1462"/>
      <c r="C57" s="1462"/>
      <c r="D57" s="1462"/>
      <c r="E57" s="1462"/>
      <c r="F57" s="1462"/>
      <c r="G57" s="1452"/>
      <c r="H57" s="944" t="s">
        <v>112</v>
      </c>
      <c r="I57" s="1095" t="s">
        <v>380</v>
      </c>
      <c r="J57" s="1026" t="s">
        <v>383</v>
      </c>
      <c r="K57" s="1110" t="s">
        <v>385</v>
      </c>
      <c r="L57" s="1460"/>
    </row>
    <row r="58" spans="1:12" x14ac:dyDescent="0.2">
      <c r="A58" s="1462"/>
      <c r="B58" s="1462"/>
      <c r="C58" s="1462"/>
      <c r="D58" s="1462"/>
      <c r="E58" s="1462"/>
      <c r="F58" s="1462"/>
      <c r="G58" s="1452"/>
      <c r="H58" s="943" t="s">
        <v>507</v>
      </c>
      <c r="I58" s="1119"/>
      <c r="J58" s="1119"/>
      <c r="K58" s="1119"/>
      <c r="L58" s="1460"/>
    </row>
    <row r="59" spans="1:12" x14ac:dyDescent="0.2">
      <c r="A59" s="1488"/>
      <c r="B59" s="1489"/>
      <c r="C59" s="1490"/>
      <c r="D59" s="1502"/>
      <c r="E59" s="1502"/>
      <c r="F59" s="1503"/>
      <c r="G59" s="1493">
        <f>ROUND(H49/1000,5)</f>
        <v>0</v>
      </c>
      <c r="H59" s="1120" t="s">
        <v>508</v>
      </c>
      <c r="I59" s="1121"/>
      <c r="J59" s="1121"/>
      <c r="K59" s="1121"/>
      <c r="L59" s="1494">
        <f>ROUND(G59*($I$58*I60+$J$58*J60+$K$58*K60),4)</f>
        <v>0</v>
      </c>
    </row>
    <row r="60" spans="1:12" x14ac:dyDescent="0.2">
      <c r="A60" s="1488"/>
      <c r="B60" s="1489"/>
      <c r="C60" s="1490"/>
      <c r="D60" s="1502"/>
      <c r="E60" s="1502"/>
      <c r="F60" s="1503"/>
      <c r="G60" s="1493"/>
      <c r="H60" s="1122" t="s">
        <v>509</v>
      </c>
      <c r="I60" s="1123"/>
      <c r="J60" s="1123"/>
      <c r="K60" s="1123"/>
      <c r="L60" s="1494"/>
    </row>
    <row r="61" spans="1:12" ht="9" customHeight="1" x14ac:dyDescent="0.2">
      <c r="A61" s="1043"/>
      <c r="B61" s="958"/>
      <c r="C61" s="979"/>
      <c r="D61" s="1151"/>
      <c r="E61" s="1151"/>
      <c r="F61" s="1141"/>
      <c r="G61" s="1112"/>
      <c r="H61" s="1235"/>
      <c r="I61" s="1236"/>
      <c r="J61" s="961"/>
      <c r="K61" s="1116"/>
      <c r="L61" s="986"/>
    </row>
    <row r="62" spans="1:12" x14ac:dyDescent="0.2">
      <c r="A62" s="1114"/>
      <c r="B62" s="979"/>
      <c r="C62" s="979"/>
      <c r="D62" s="1083"/>
      <c r="E62" s="1083"/>
      <c r="F62" s="1083"/>
      <c r="G62" s="1135"/>
      <c r="H62" s="1247"/>
      <c r="I62" s="1247"/>
      <c r="J62" s="1137"/>
      <c r="K62" s="1044"/>
      <c r="L62" s="1138">
        <f>G62*H62*K62</f>
        <v>0</v>
      </c>
    </row>
    <row r="63" spans="1:12" x14ac:dyDescent="0.2">
      <c r="A63" s="1454" t="s">
        <v>510</v>
      </c>
      <c r="B63" s="1454"/>
      <c r="C63" s="1454"/>
      <c r="D63" s="1454"/>
      <c r="E63" s="1454"/>
      <c r="F63" s="1454"/>
      <c r="G63" s="1454"/>
      <c r="H63" s="1454"/>
      <c r="I63" s="1454"/>
      <c r="J63" s="1454"/>
      <c r="K63" s="1454"/>
      <c r="L63" s="1300">
        <f>ROUND(SUM(L59:L62),4)</f>
        <v>0</v>
      </c>
    </row>
    <row r="64" spans="1:12" ht="9" customHeight="1" x14ac:dyDescent="0.2">
      <c r="A64" s="1049"/>
      <c r="B64" s="1049"/>
      <c r="C64" s="1049"/>
      <c r="D64" s="1049"/>
      <c r="E64" s="1049"/>
      <c r="F64" s="1049"/>
      <c r="G64" s="932"/>
      <c r="H64" s="1050"/>
      <c r="I64" s="1050"/>
      <c r="J64" s="1051"/>
      <c r="K64" s="1052"/>
      <c r="L64" s="1053"/>
    </row>
    <row r="65" spans="1:12" x14ac:dyDescent="0.2">
      <c r="A65" s="1454" t="s">
        <v>460</v>
      </c>
      <c r="B65" s="1454"/>
      <c r="C65" s="1454"/>
      <c r="D65" s="1454"/>
      <c r="E65" s="1454"/>
      <c r="F65" s="1454"/>
      <c r="G65" s="1454"/>
      <c r="H65" s="1454"/>
      <c r="I65" s="1454"/>
      <c r="J65" s="1454"/>
      <c r="K65" s="1454"/>
      <c r="L65" s="1025">
        <f>ROUND(L45+L54+L63,4)</f>
        <v>3.2172999999999998</v>
      </c>
    </row>
    <row r="66" spans="1:12" x14ac:dyDescent="0.2">
      <c r="A66" s="1455" t="s">
        <v>461</v>
      </c>
      <c r="B66" s="1455"/>
      <c r="C66" s="1455"/>
      <c r="D66" s="1455"/>
      <c r="E66" s="1455"/>
      <c r="F66" s="1455"/>
      <c r="G66" s="1455"/>
      <c r="H66" s="1455"/>
      <c r="I66" s="1455"/>
      <c r="J66" s="1455"/>
      <c r="K66" s="1055">
        <v>0.25569999999999998</v>
      </c>
      <c r="L66" s="1056">
        <f>ROUND(L65*K66,4)</f>
        <v>0.82269999999999999</v>
      </c>
    </row>
    <row r="67" spans="1:12" x14ac:dyDescent="0.2">
      <c r="A67" s="1456" t="s">
        <v>462</v>
      </c>
      <c r="B67" s="1456"/>
      <c r="C67" s="1456"/>
      <c r="D67" s="1456"/>
      <c r="E67" s="1456"/>
      <c r="F67" s="1456"/>
      <c r="G67" s="1456"/>
      <c r="H67" s="1456"/>
      <c r="I67" s="1456"/>
      <c r="J67" s="1456"/>
      <c r="K67" s="1456"/>
      <c r="L67" s="1126">
        <f>ROUND(L65+L66,2)</f>
        <v>4.04</v>
      </c>
    </row>
    <row r="68" spans="1:12" ht="9" customHeight="1" x14ac:dyDescent="0.2">
      <c r="A68" s="1058"/>
      <c r="B68" s="1058"/>
      <c r="C68" s="1058"/>
      <c r="D68" s="1058"/>
      <c r="E68" s="1058"/>
      <c r="F68" s="1058"/>
      <c r="G68" s="1058"/>
      <c r="H68" s="1058"/>
      <c r="I68" s="1058"/>
      <c r="J68" s="1058"/>
      <c r="K68" s="1058"/>
      <c r="L68" s="1058"/>
    </row>
    <row r="69" spans="1:12" ht="25.5" customHeight="1" x14ac:dyDescent="0.2">
      <c r="A69" s="1059" t="s">
        <v>463</v>
      </c>
      <c r="B69" s="1060"/>
      <c r="C69" s="1518" t="s">
        <v>621</v>
      </c>
      <c r="D69" s="1518"/>
      <c r="E69" s="1518"/>
      <c r="F69" s="1518"/>
      <c r="G69" s="1518"/>
      <c r="H69" s="1518"/>
      <c r="I69" s="1518"/>
      <c r="J69" s="1518"/>
      <c r="K69" s="1518"/>
      <c r="L69" s="1518"/>
    </row>
    <row r="70" spans="1:12" ht="13.9" customHeight="1" x14ac:dyDescent="0.2">
      <c r="A70" s="1210"/>
      <c r="B70" s="1184"/>
      <c r="C70" s="1506" t="s">
        <v>575</v>
      </c>
      <c r="D70" s="1506"/>
      <c r="E70" s="1506"/>
      <c r="F70" s="1506"/>
      <c r="G70" s="1506"/>
      <c r="H70" s="1506"/>
      <c r="I70" s="1506"/>
      <c r="J70" s="1506"/>
      <c r="K70" s="1506"/>
      <c r="L70" s="1506"/>
    </row>
    <row r="71" spans="1:12" ht="9.9499999999999993" customHeight="1" x14ac:dyDescent="0.2">
      <c r="A71" s="1210"/>
      <c r="B71" s="1184"/>
      <c r="C71" s="1184"/>
      <c r="D71" s="1184"/>
      <c r="E71" s="1184"/>
      <c r="F71" s="1184"/>
      <c r="G71" s="1184"/>
      <c r="H71" s="1184"/>
      <c r="I71" s="1184"/>
      <c r="J71" s="1184"/>
      <c r="K71" s="1184"/>
      <c r="L71" s="1253"/>
    </row>
    <row r="72" spans="1:12" ht="9" customHeight="1" x14ac:dyDescent="0.2">
      <c r="A72" s="1071"/>
      <c r="B72" s="1129"/>
      <c r="C72" s="1129"/>
      <c r="D72" s="1129"/>
      <c r="E72" s="1129"/>
      <c r="F72" s="1129"/>
      <c r="G72" s="1129"/>
      <c r="H72" s="1129"/>
      <c r="I72" s="1129"/>
      <c r="J72" s="1129"/>
      <c r="K72" s="1129"/>
      <c r="L72" s="1254"/>
    </row>
  </sheetData>
  <mergeCells count="56">
    <mergeCell ref="A1:L1"/>
    <mergeCell ref="A2:L2"/>
    <mergeCell ref="A3:L3"/>
    <mergeCell ref="A4:L4"/>
    <mergeCell ref="A5:K5"/>
    <mergeCell ref="A6:K6"/>
    <mergeCell ref="A7:K7"/>
    <mergeCell ref="L7:L8"/>
    <mergeCell ref="A10:L10"/>
    <mergeCell ref="A12:D12"/>
    <mergeCell ref="E12:L12"/>
    <mergeCell ref="A15:L16"/>
    <mergeCell ref="E18:J18"/>
    <mergeCell ref="A20:F21"/>
    <mergeCell ref="G20:G21"/>
    <mergeCell ref="H20:I20"/>
    <mergeCell ref="J20:K20"/>
    <mergeCell ref="D22:F22"/>
    <mergeCell ref="D23:F23"/>
    <mergeCell ref="D24:F24"/>
    <mergeCell ref="D25:F25"/>
    <mergeCell ref="D26:F26"/>
    <mergeCell ref="A29:K29"/>
    <mergeCell ref="A31:I32"/>
    <mergeCell ref="J31:J32"/>
    <mergeCell ref="K31:K32"/>
    <mergeCell ref="D33:I33"/>
    <mergeCell ref="A38:K38"/>
    <mergeCell ref="A45:H45"/>
    <mergeCell ref="I45:K45"/>
    <mergeCell ref="A47:G48"/>
    <mergeCell ref="H47:I48"/>
    <mergeCell ref="J47:J48"/>
    <mergeCell ref="H49:I49"/>
    <mergeCell ref="H50:I50"/>
    <mergeCell ref="H51:I51"/>
    <mergeCell ref="H52:I52"/>
    <mergeCell ref="H53:I53"/>
    <mergeCell ref="A54:K54"/>
    <mergeCell ref="A56:F58"/>
    <mergeCell ref="G56:G58"/>
    <mergeCell ref="H56:K56"/>
    <mergeCell ref="L56:L58"/>
    <mergeCell ref="A67:K67"/>
    <mergeCell ref="C69:L69"/>
    <mergeCell ref="C70:L70"/>
    <mergeCell ref="G59:G60"/>
    <mergeCell ref="L59:L60"/>
    <mergeCell ref="A63:K63"/>
    <mergeCell ref="A65:K65"/>
    <mergeCell ref="A66:J66"/>
    <mergeCell ref="A59:A60"/>
    <mergeCell ref="B59:B60"/>
    <mergeCell ref="C59:C60"/>
    <mergeCell ref="D59:E60"/>
    <mergeCell ref="F59:F60"/>
  </mergeCells>
  <dataValidations count="1">
    <dataValidation allowBlank="1" showInputMessage="1" showErrorMessage="1" prompt="Clique duas vezes sobre o número do item para ser direcionado à Planilha Orçamentária." sqref="D18" xr:uid="{00000000-0002-0000-1F00-000000000000}">
      <formula1>0</formula1>
      <formula2>0</formula2>
    </dataValidation>
  </dataValidations>
  <printOptions horizontalCentered="1" verticalCentered="1"/>
  <pageMargins left="0.51180555555555496" right="0.51180555555555496" top="0.78749999999999998" bottom="0.78749999999999998" header="0.51180555555555496" footer="0.51180555555555496"/>
  <pageSetup paperSize="9" scale="73" firstPageNumber="0" orientation="portrait"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L70"/>
  <sheetViews>
    <sheetView topLeftCell="A49" zoomScale="83" zoomScaleNormal="83" workbookViewId="0">
      <selection activeCell="P139" sqref="P139"/>
    </sheetView>
  </sheetViews>
  <sheetFormatPr defaultRowHeight="15" x14ac:dyDescent="0.2"/>
  <cols>
    <col min="1" max="2" width="7.6640625" style="902" customWidth="1"/>
    <col min="3" max="3" width="2.15234375" style="902" customWidth="1"/>
    <col min="4" max="4" width="3.765625" style="902" customWidth="1"/>
    <col min="5" max="5" width="23.67578125" style="902" customWidth="1"/>
    <col min="6" max="6" width="12.64453125" style="902" customWidth="1"/>
    <col min="7" max="11" width="8.7421875" style="902" customWidth="1"/>
    <col min="12" max="12" width="10.76171875" style="902" customWidth="1"/>
    <col min="13" max="1025" width="8.7421875" customWidth="1"/>
  </cols>
  <sheetData>
    <row r="1" spans="1:12" x14ac:dyDescent="0.2">
      <c r="A1" s="1474"/>
      <c r="B1" s="1474"/>
      <c r="C1" s="1474"/>
      <c r="D1" s="1474"/>
      <c r="E1" s="1474"/>
      <c r="F1" s="1474"/>
      <c r="G1" s="1474"/>
      <c r="H1" s="1474"/>
      <c r="I1" s="1474"/>
      <c r="J1" s="1474"/>
      <c r="K1" s="1474"/>
      <c r="L1" s="1474"/>
    </row>
    <row r="2" spans="1:12" x14ac:dyDescent="0.2">
      <c r="A2" s="1475" t="s">
        <v>629</v>
      </c>
      <c r="B2" s="1475"/>
      <c r="C2" s="1475"/>
      <c r="D2" s="1475"/>
      <c r="E2" s="1475"/>
      <c r="F2" s="1475"/>
      <c r="G2" s="1475"/>
      <c r="H2" s="1475"/>
      <c r="I2" s="1475"/>
      <c r="J2" s="1475"/>
      <c r="K2" s="1475"/>
      <c r="L2" s="1475"/>
    </row>
    <row r="3" spans="1:12" x14ac:dyDescent="0.2">
      <c r="A3" s="1474"/>
      <c r="B3" s="1474"/>
      <c r="C3" s="1474"/>
      <c r="D3" s="1474"/>
      <c r="E3" s="1474"/>
      <c r="F3" s="1474"/>
      <c r="G3" s="1474"/>
      <c r="H3" s="1474"/>
      <c r="I3" s="1474"/>
      <c r="J3" s="1474"/>
      <c r="K3" s="1474"/>
      <c r="L3" s="1474"/>
    </row>
    <row r="4" spans="1:12" x14ac:dyDescent="0.2">
      <c r="A4" s="1476"/>
      <c r="B4" s="1476"/>
      <c r="C4" s="1476"/>
      <c r="D4" s="1476"/>
      <c r="E4" s="1476"/>
      <c r="F4" s="1476"/>
      <c r="G4" s="1476"/>
      <c r="H4" s="1476"/>
      <c r="I4" s="1476"/>
      <c r="J4" s="1476"/>
      <c r="K4" s="1476"/>
      <c r="L4" s="1476"/>
    </row>
    <row r="5" spans="1:12" x14ac:dyDescent="0.2">
      <c r="A5" s="1477"/>
      <c r="B5" s="1477"/>
      <c r="C5" s="1477"/>
      <c r="D5" s="1477"/>
      <c r="E5" s="1477"/>
      <c r="F5" s="1477"/>
      <c r="G5" s="1477"/>
      <c r="H5" s="1477"/>
      <c r="I5" s="1477"/>
      <c r="J5" s="1477"/>
      <c r="K5" s="1477"/>
      <c r="L5" s="903" t="s">
        <v>419</v>
      </c>
    </row>
    <row r="6" spans="1:12" x14ac:dyDescent="0.2">
      <c r="A6" s="1469"/>
      <c r="B6" s="1469"/>
      <c r="C6" s="1469"/>
      <c r="D6" s="1469"/>
      <c r="E6" s="1469"/>
      <c r="F6" s="1469"/>
      <c r="G6" s="1469"/>
      <c r="H6" s="1469"/>
      <c r="I6" s="1469"/>
      <c r="J6" s="1469"/>
      <c r="K6" s="1469"/>
      <c r="L6" s="1075"/>
    </row>
    <row r="7" spans="1:12" ht="13.9" customHeight="1" x14ac:dyDescent="0.2">
      <c r="A7" s="1469"/>
      <c r="B7" s="1469"/>
      <c r="C7" s="1469"/>
      <c r="D7" s="1469"/>
      <c r="E7" s="1469"/>
      <c r="F7" s="1469"/>
      <c r="G7" s="1469"/>
      <c r="H7" s="1469"/>
      <c r="I7" s="1469"/>
      <c r="J7" s="1469"/>
      <c r="K7" s="1469"/>
      <c r="L7" s="1470" t="s">
        <v>221</v>
      </c>
    </row>
    <row r="8" spans="1:12" x14ac:dyDescent="0.2">
      <c r="A8" s="904"/>
      <c r="B8" s="905"/>
      <c r="C8" s="906"/>
      <c r="D8" s="907"/>
      <c r="E8" s="908"/>
      <c r="F8" s="906"/>
      <c r="G8" s="906"/>
      <c r="H8" s="906"/>
      <c r="I8" s="906"/>
      <c r="J8" s="906"/>
      <c r="K8" s="909"/>
      <c r="L8" s="1470"/>
    </row>
    <row r="9" spans="1:12" x14ac:dyDescent="0.2">
      <c r="A9" s="910"/>
      <c r="B9" s="910"/>
      <c r="C9" s="911"/>
      <c r="D9" s="912"/>
      <c r="E9" s="912"/>
      <c r="F9" s="913"/>
      <c r="G9" s="913"/>
      <c r="H9" s="913"/>
      <c r="I9" s="913"/>
      <c r="J9" s="913"/>
      <c r="K9" s="913"/>
      <c r="L9" s="914"/>
    </row>
    <row r="10" spans="1:12" x14ac:dyDescent="0.2">
      <c r="A10" s="1471"/>
      <c r="B10" s="1471"/>
      <c r="C10" s="1471"/>
      <c r="D10" s="1471"/>
      <c r="E10" s="1471"/>
      <c r="F10" s="1471"/>
      <c r="G10" s="1471"/>
      <c r="H10" s="1471"/>
      <c r="I10" s="1471"/>
      <c r="J10" s="1471"/>
      <c r="K10" s="1471"/>
      <c r="L10" s="1471"/>
    </row>
    <row r="11" spans="1:12" x14ac:dyDescent="0.2">
      <c r="A11" s="915"/>
      <c r="B11" s="912"/>
      <c r="C11" s="911"/>
      <c r="D11" s="912"/>
      <c r="E11" s="911"/>
      <c r="F11" s="911"/>
      <c r="G11" s="911"/>
      <c r="H11" s="911"/>
      <c r="I11" s="911"/>
      <c r="J11" s="911"/>
      <c r="K11" s="911"/>
      <c r="L11" s="916"/>
    </row>
    <row r="12" spans="1:12" x14ac:dyDescent="0.2">
      <c r="A12" s="1472" t="s">
        <v>421</v>
      </c>
      <c r="B12" s="1472"/>
      <c r="C12" s="1472"/>
      <c r="D12" s="1472"/>
      <c r="E12" s="1542" t="s">
        <v>648</v>
      </c>
      <c r="F12" s="1542"/>
      <c r="G12" s="1542"/>
      <c r="H12" s="1542"/>
      <c r="I12" s="1542"/>
      <c r="J12" s="1542"/>
      <c r="K12" s="1542"/>
      <c r="L12" s="1542"/>
    </row>
    <row r="13" spans="1:12" x14ac:dyDescent="0.2">
      <c r="A13" s="920"/>
      <c r="B13" s="907"/>
      <c r="C13" s="921"/>
      <c r="D13" s="907"/>
      <c r="E13" s="907"/>
      <c r="F13" s="906"/>
      <c r="G13" s="906"/>
      <c r="H13" s="906"/>
      <c r="I13" s="906"/>
      <c r="J13" s="906"/>
      <c r="K13" s="906"/>
      <c r="L13" s="922"/>
    </row>
    <row r="14" spans="1:12" x14ac:dyDescent="0.2">
      <c r="A14" s="913"/>
      <c r="B14" s="913"/>
      <c r="C14" s="913"/>
      <c r="D14" s="913"/>
      <c r="E14" s="913"/>
      <c r="F14" s="913"/>
      <c r="G14" s="913"/>
      <c r="H14" s="913"/>
      <c r="I14" s="913"/>
      <c r="J14" s="913"/>
      <c r="K14" s="913"/>
      <c r="L14" s="914"/>
    </row>
    <row r="15" spans="1:12" x14ac:dyDescent="0.2">
      <c r="A15" s="1473" t="s">
        <v>422</v>
      </c>
      <c r="B15" s="1473"/>
      <c r="C15" s="1473"/>
      <c r="D15" s="1473"/>
      <c r="E15" s="1473"/>
      <c r="F15" s="1473"/>
      <c r="G15" s="1473"/>
      <c r="H15" s="1473"/>
      <c r="I15" s="1473"/>
      <c r="J15" s="1473"/>
      <c r="K15" s="1473"/>
      <c r="L15" s="1473"/>
    </row>
    <row r="16" spans="1:12" x14ac:dyDescent="0.2">
      <c r="A16" s="1473"/>
      <c r="B16" s="1473"/>
      <c r="C16" s="1473"/>
      <c r="D16" s="1473"/>
      <c r="E16" s="1473"/>
      <c r="F16" s="1473"/>
      <c r="G16" s="1473"/>
      <c r="H16" s="1473"/>
      <c r="I16" s="1473"/>
      <c r="J16" s="1473"/>
      <c r="K16" s="1473"/>
      <c r="L16" s="1473"/>
    </row>
    <row r="17" spans="1:12" x14ac:dyDescent="0.2">
      <c r="A17" s="923"/>
      <c r="B17" s="923"/>
      <c r="C17" s="923"/>
      <c r="D17" s="923"/>
      <c r="E17" s="923"/>
      <c r="F17" s="923"/>
      <c r="G17" s="923"/>
      <c r="H17" s="923"/>
      <c r="I17" s="923"/>
      <c r="J17" s="923"/>
      <c r="K17" s="923"/>
      <c r="L17" s="923"/>
    </row>
    <row r="18" spans="1:12" x14ac:dyDescent="0.2">
      <c r="A18" s="924" t="s">
        <v>423</v>
      </c>
      <c r="B18" s="925"/>
      <c r="C18" s="925"/>
      <c r="D18" s="926" t="s">
        <v>221</v>
      </c>
      <c r="E18" s="1498" t="s">
        <v>622</v>
      </c>
      <c r="F18" s="1498"/>
      <c r="G18" s="1498"/>
      <c r="H18" s="1498"/>
      <c r="I18" s="1498"/>
      <c r="J18" s="1498"/>
      <c r="K18" s="928" t="s">
        <v>425</v>
      </c>
      <c r="L18" s="929" t="s">
        <v>581</v>
      </c>
    </row>
    <row r="19" spans="1:12" x14ac:dyDescent="0.2">
      <c r="A19" s="910"/>
      <c r="B19" s="910"/>
      <c r="C19" s="910"/>
      <c r="D19" s="910"/>
      <c r="E19" s="910"/>
      <c r="F19" s="910"/>
      <c r="G19" s="910"/>
      <c r="H19" s="910"/>
      <c r="I19" s="910"/>
      <c r="J19" s="910"/>
      <c r="K19" s="910"/>
      <c r="L19" s="910"/>
    </row>
    <row r="20" spans="1:12" x14ac:dyDescent="0.2">
      <c r="A20" s="1462" t="s">
        <v>434</v>
      </c>
      <c r="B20" s="1462"/>
      <c r="C20" s="1462"/>
      <c r="D20" s="1462"/>
      <c r="E20" s="1462"/>
      <c r="F20" s="1462"/>
      <c r="G20" s="1460" t="s">
        <v>166</v>
      </c>
      <c r="H20" s="1460" t="s">
        <v>362</v>
      </c>
      <c r="I20" s="1460"/>
      <c r="J20" s="1500" t="s">
        <v>483</v>
      </c>
      <c r="K20" s="1500"/>
      <c r="L20" s="1076" t="s">
        <v>484</v>
      </c>
    </row>
    <row r="21" spans="1:12" x14ac:dyDescent="0.2">
      <c r="A21" s="1462"/>
      <c r="B21" s="1462"/>
      <c r="C21" s="1462"/>
      <c r="D21" s="1462"/>
      <c r="E21" s="1462"/>
      <c r="F21" s="1462"/>
      <c r="G21" s="1460"/>
      <c r="H21" s="943" t="s">
        <v>485</v>
      </c>
      <c r="I21" s="1077" t="s">
        <v>486</v>
      </c>
      <c r="J21" s="943" t="s">
        <v>485</v>
      </c>
      <c r="K21" s="1077" t="s">
        <v>486</v>
      </c>
      <c r="L21" s="1026" t="s">
        <v>487</v>
      </c>
    </row>
    <row r="22" spans="1:12" x14ac:dyDescent="0.2">
      <c r="A22" s="1143" t="s">
        <v>379</v>
      </c>
      <c r="B22" s="1130" t="s">
        <v>665</v>
      </c>
      <c r="C22" s="979" t="s">
        <v>442</v>
      </c>
      <c r="D22" s="1049" t="s">
        <v>666</v>
      </c>
      <c r="E22" s="1049"/>
      <c r="F22" s="1049"/>
      <c r="G22" s="1205">
        <v>1</v>
      </c>
      <c r="H22" s="1116">
        <v>1</v>
      </c>
      <c r="I22" s="961">
        <v>0</v>
      </c>
      <c r="J22" s="986">
        <v>199.35740000000001</v>
      </c>
      <c r="K22" s="986">
        <v>80.469300000000004</v>
      </c>
      <c r="L22" s="1245">
        <f t="shared" ref="L22:L28" si="0">ROUND((G22*H22*J22)+(G22*I22*K22),4)</f>
        <v>199.35740000000001</v>
      </c>
    </row>
    <row r="23" spans="1:12" x14ac:dyDescent="0.2">
      <c r="A23" s="1134"/>
      <c r="B23" s="1130"/>
      <c r="C23" s="979"/>
      <c r="D23" s="1525"/>
      <c r="E23" s="1525"/>
      <c r="F23" s="1525"/>
      <c r="G23" s="1112"/>
      <c r="H23" s="1116"/>
      <c r="I23" s="961"/>
      <c r="J23" s="1081"/>
      <c r="K23" s="1081"/>
      <c r="L23" s="1138">
        <f t="shared" si="0"/>
        <v>0</v>
      </c>
    </row>
    <row r="24" spans="1:12" x14ac:dyDescent="0.2">
      <c r="A24" s="1114"/>
      <c r="B24" s="942"/>
      <c r="C24" s="979"/>
      <c r="D24" s="942"/>
      <c r="E24" s="942"/>
      <c r="F24" s="942"/>
      <c r="G24" s="1112"/>
      <c r="H24" s="1116"/>
      <c r="I24" s="961"/>
      <c r="J24" s="1081"/>
      <c r="K24" s="1087"/>
      <c r="L24" s="1138">
        <f t="shared" si="0"/>
        <v>0</v>
      </c>
    </row>
    <row r="25" spans="1:12" x14ac:dyDescent="0.2">
      <c r="A25" s="1114"/>
      <c r="B25" s="942"/>
      <c r="C25" s="979"/>
      <c r="D25" s="942"/>
      <c r="E25" s="942"/>
      <c r="F25" s="942"/>
      <c r="G25" s="1112"/>
      <c r="H25" s="1116"/>
      <c r="I25" s="961"/>
      <c r="J25" s="1081"/>
      <c r="K25" s="1087"/>
      <c r="L25" s="1138">
        <f t="shared" si="0"/>
        <v>0</v>
      </c>
    </row>
    <row r="26" spans="1:12" x14ac:dyDescent="0.2">
      <c r="A26" s="1114"/>
      <c r="B26" s="942"/>
      <c r="C26" s="979"/>
      <c r="D26" s="942"/>
      <c r="E26" s="942"/>
      <c r="F26" s="942"/>
      <c r="G26" s="1112"/>
      <c r="H26" s="1116"/>
      <c r="I26" s="961"/>
      <c r="J26" s="1081"/>
      <c r="K26" s="1087"/>
      <c r="L26" s="1138">
        <f t="shared" si="0"/>
        <v>0</v>
      </c>
    </row>
    <row r="27" spans="1:12" x14ac:dyDescent="0.2">
      <c r="A27" s="1114"/>
      <c r="B27" s="942"/>
      <c r="C27" s="979"/>
      <c r="D27" s="942"/>
      <c r="E27" s="942"/>
      <c r="F27" s="942"/>
      <c r="G27" s="1112"/>
      <c r="H27" s="1116"/>
      <c r="I27" s="961"/>
      <c r="J27" s="1081"/>
      <c r="K27" s="1087"/>
      <c r="L27" s="1138">
        <f t="shared" si="0"/>
        <v>0</v>
      </c>
    </row>
    <row r="28" spans="1:12" x14ac:dyDescent="0.2">
      <c r="A28" s="1114"/>
      <c r="B28" s="942"/>
      <c r="C28" s="979"/>
      <c r="D28" s="942"/>
      <c r="E28" s="942"/>
      <c r="F28" s="942"/>
      <c r="G28" s="1096"/>
      <c r="H28" s="1116"/>
      <c r="I28" s="961"/>
      <c r="J28" s="1086"/>
      <c r="K28" s="1087"/>
      <c r="L28" s="1138">
        <f t="shared" si="0"/>
        <v>0</v>
      </c>
    </row>
    <row r="29" spans="1:12" x14ac:dyDescent="0.2">
      <c r="A29" s="1497" t="s">
        <v>488</v>
      </c>
      <c r="B29" s="1497"/>
      <c r="C29" s="1497"/>
      <c r="D29" s="1497"/>
      <c r="E29" s="1497"/>
      <c r="F29" s="1497"/>
      <c r="G29" s="1497"/>
      <c r="H29" s="1497"/>
      <c r="I29" s="1497"/>
      <c r="J29" s="1497"/>
      <c r="K29" s="1497"/>
      <c r="L29" s="1035">
        <f>ROUND(SUM(L22:L28),4)</f>
        <v>199.35740000000001</v>
      </c>
    </row>
    <row r="30" spans="1:12" x14ac:dyDescent="0.2">
      <c r="A30" s="930"/>
      <c r="B30" s="930"/>
      <c r="C30" s="930"/>
      <c r="D30" s="930"/>
      <c r="E30" s="930"/>
      <c r="F30" s="930"/>
      <c r="G30" s="930"/>
      <c r="H30" s="1023"/>
      <c r="I30" s="1023"/>
      <c r="J30" s="1023"/>
      <c r="K30" s="1023"/>
      <c r="L30" s="1023"/>
    </row>
    <row r="31" spans="1:12" ht="13.9" customHeight="1" x14ac:dyDescent="0.2">
      <c r="A31" s="1462" t="s">
        <v>447</v>
      </c>
      <c r="B31" s="1462"/>
      <c r="C31" s="1462"/>
      <c r="D31" s="1462"/>
      <c r="E31" s="1462"/>
      <c r="F31" s="1462"/>
      <c r="G31" s="1462"/>
      <c r="H31" s="1462"/>
      <c r="I31" s="1462"/>
      <c r="J31" s="1460" t="s">
        <v>166</v>
      </c>
      <c r="K31" s="1452" t="s">
        <v>489</v>
      </c>
      <c r="L31" s="1076" t="s">
        <v>449</v>
      </c>
    </row>
    <row r="32" spans="1:12" x14ac:dyDescent="0.2">
      <c r="A32" s="1462"/>
      <c r="B32" s="1462"/>
      <c r="C32" s="1462"/>
      <c r="D32" s="1462"/>
      <c r="E32" s="1462"/>
      <c r="F32" s="1462"/>
      <c r="G32" s="1462"/>
      <c r="H32" s="1462"/>
      <c r="I32" s="1462"/>
      <c r="J32" s="1460"/>
      <c r="K32" s="1452"/>
      <c r="L32" s="1026" t="s">
        <v>487</v>
      </c>
    </row>
    <row r="33" spans="1:12" x14ac:dyDescent="0.2">
      <c r="A33" s="1043" t="s">
        <v>379</v>
      </c>
      <c r="B33" s="1130" t="s">
        <v>713</v>
      </c>
      <c r="C33" s="979" t="s">
        <v>442</v>
      </c>
      <c r="D33" s="1525" t="s">
        <v>714</v>
      </c>
      <c r="E33" s="1525"/>
      <c r="F33" s="1525"/>
      <c r="G33" s="1525"/>
      <c r="H33" s="1525"/>
      <c r="I33" s="1525"/>
      <c r="J33" s="1080">
        <v>1</v>
      </c>
      <c r="K33" s="1020">
        <v>15.3812</v>
      </c>
      <c r="L33" s="1243">
        <f>ROUND(J33*K33,4)</f>
        <v>15.3812</v>
      </c>
    </row>
    <row r="34" spans="1:12" x14ac:dyDescent="0.2">
      <c r="A34" s="1043"/>
      <c r="B34" s="1130"/>
      <c r="C34" s="979"/>
      <c r="D34" s="942"/>
      <c r="E34" s="942"/>
      <c r="F34" s="942"/>
      <c r="G34" s="942"/>
      <c r="H34" s="942"/>
      <c r="I34" s="1144"/>
      <c r="J34" s="1080"/>
      <c r="K34" s="1020"/>
      <c r="L34" s="1243">
        <f>ROUND(J34*K34,4)</f>
        <v>0</v>
      </c>
    </row>
    <row r="35" spans="1:12" x14ac:dyDescent="0.2">
      <c r="A35" s="1153"/>
      <c r="B35" s="942"/>
      <c r="C35" s="979"/>
      <c r="D35" s="942"/>
      <c r="E35" s="942"/>
      <c r="F35" s="942"/>
      <c r="G35" s="910"/>
      <c r="H35" s="979"/>
      <c r="I35" s="1092"/>
      <c r="J35" s="1080"/>
      <c r="K35" s="1020"/>
      <c r="L35" s="1243">
        <f>ROUND(J35*K35,4)</f>
        <v>0</v>
      </c>
    </row>
    <row r="36" spans="1:12" x14ac:dyDescent="0.2">
      <c r="A36" s="1082"/>
      <c r="B36" s="1083"/>
      <c r="C36" s="1083"/>
      <c r="D36" s="1083"/>
      <c r="E36" s="1083"/>
      <c r="F36" s="1083"/>
      <c r="G36" s="905"/>
      <c r="H36" s="1077"/>
      <c r="I36" s="1095"/>
      <c r="J36" s="1085"/>
      <c r="K36" s="1020"/>
      <c r="L36" s="1243">
        <f>ROUND(J36*K36,4)</f>
        <v>0</v>
      </c>
    </row>
    <row r="37" spans="1:12" x14ac:dyDescent="0.2">
      <c r="A37" s="1497" t="s">
        <v>490</v>
      </c>
      <c r="B37" s="1497"/>
      <c r="C37" s="1497"/>
      <c r="D37" s="1497"/>
      <c r="E37" s="1497"/>
      <c r="F37" s="1497"/>
      <c r="G37" s="1497"/>
      <c r="H37" s="1497"/>
      <c r="I37" s="1497"/>
      <c r="J37" s="1497"/>
      <c r="K37" s="1497"/>
      <c r="L37" s="1035">
        <f>ROUND(SUM(L33:L36),4)</f>
        <v>15.3812</v>
      </c>
    </row>
    <row r="38" spans="1:12" x14ac:dyDescent="0.2">
      <c r="A38" s="930"/>
      <c r="B38" s="930"/>
      <c r="C38" s="930"/>
      <c r="D38" s="930"/>
      <c r="E38" s="930"/>
      <c r="F38" s="930"/>
      <c r="G38" s="930"/>
      <c r="H38" s="930"/>
      <c r="I38" s="930"/>
      <c r="J38" s="1023"/>
      <c r="K38" s="1023"/>
      <c r="L38" s="1099"/>
    </row>
    <row r="39" spans="1:12" x14ac:dyDescent="0.2">
      <c r="A39" s="930"/>
      <c r="B39" s="930"/>
      <c r="C39" s="930"/>
      <c r="D39" s="930"/>
      <c r="E39" s="930"/>
      <c r="F39" s="930"/>
      <c r="G39" s="930"/>
      <c r="H39" s="930"/>
      <c r="I39" s="930"/>
      <c r="J39" s="1023"/>
      <c r="K39" s="1100" t="s">
        <v>491</v>
      </c>
      <c r="L39" s="1101">
        <f>L29+L37</f>
        <v>214.73860000000002</v>
      </c>
    </row>
    <row r="40" spans="1:12" x14ac:dyDescent="0.2">
      <c r="A40" s="1102" t="s">
        <v>492</v>
      </c>
      <c r="B40" s="930"/>
      <c r="C40" s="930"/>
      <c r="D40" s="930"/>
      <c r="E40" s="1252"/>
      <c r="F40" s="1103">
        <v>632.13</v>
      </c>
      <c r="G40" s="1257" t="str">
        <f>L18</f>
        <v>m³</v>
      </c>
      <c r="H40" s="1102"/>
      <c r="I40" s="930"/>
      <c r="J40" s="1105"/>
      <c r="K40" s="1106" t="s">
        <v>493</v>
      </c>
      <c r="L40" s="1035">
        <f>ROUND(L39/F40,4)</f>
        <v>0.3397</v>
      </c>
    </row>
    <row r="41" spans="1:12" x14ac:dyDescent="0.2">
      <c r="A41" s="1102"/>
      <c r="B41" s="930" t="s">
        <v>494</v>
      </c>
      <c r="C41" s="930"/>
      <c r="D41" s="930"/>
      <c r="E41" s="930"/>
      <c r="F41" s="1103">
        <v>4.8980000000000003E-2</v>
      </c>
      <c r="G41" s="1104"/>
      <c r="H41" s="1102"/>
      <c r="I41" s="930"/>
      <c r="J41" s="1105"/>
      <c r="K41" s="1100" t="s">
        <v>495</v>
      </c>
      <c r="L41" s="1035">
        <f>ROUND(L40*F41,4)</f>
        <v>1.66E-2</v>
      </c>
    </row>
    <row r="42" spans="1:12" x14ac:dyDescent="0.2">
      <c r="A42" s="1102"/>
      <c r="B42" s="930" t="s">
        <v>496</v>
      </c>
      <c r="C42" s="930"/>
      <c r="D42" s="930"/>
      <c r="E42" s="930"/>
      <c r="F42" s="1202"/>
      <c r="G42" s="1104"/>
      <c r="H42" s="1105"/>
      <c r="I42" s="1107"/>
      <c r="J42" s="1023"/>
      <c r="K42" s="1100" t="s">
        <v>497</v>
      </c>
      <c r="L42" s="1035">
        <f>ROUND(L40*F42,4)</f>
        <v>0</v>
      </c>
    </row>
    <row r="43" spans="1:12" x14ac:dyDescent="0.2">
      <c r="A43" s="930"/>
      <c r="B43" s="930"/>
      <c r="C43" s="930"/>
      <c r="D43" s="930"/>
      <c r="E43" s="930"/>
      <c r="F43" s="930"/>
      <c r="G43" s="930"/>
      <c r="H43" s="930"/>
      <c r="I43" s="930"/>
      <c r="J43" s="1023"/>
      <c r="K43" s="1023"/>
      <c r="L43" s="1099"/>
    </row>
    <row r="44" spans="1:12" x14ac:dyDescent="0.2">
      <c r="A44" s="1462" t="s">
        <v>498</v>
      </c>
      <c r="B44" s="1462"/>
      <c r="C44" s="1462"/>
      <c r="D44" s="1462"/>
      <c r="E44" s="1462"/>
      <c r="F44" s="1462"/>
      <c r="G44" s="1462"/>
      <c r="H44" s="1462"/>
      <c r="I44" s="1456" t="s">
        <v>499</v>
      </c>
      <c r="J44" s="1456"/>
      <c r="K44" s="1456"/>
      <c r="L44" s="1108">
        <f>ROUND(SUM(L40:L43),4)</f>
        <v>0.35630000000000001</v>
      </c>
    </row>
    <row r="45" spans="1:12" x14ac:dyDescent="0.2">
      <c r="A45" s="910"/>
      <c r="B45" s="910"/>
      <c r="C45" s="910"/>
      <c r="D45" s="910"/>
      <c r="E45" s="910"/>
      <c r="F45" s="910"/>
      <c r="G45" s="1109"/>
      <c r="H45" s="1109"/>
      <c r="I45" s="933"/>
      <c r="J45" s="933"/>
      <c r="K45" s="933"/>
      <c r="L45" s="910"/>
    </row>
    <row r="46" spans="1:12" x14ac:dyDescent="0.2">
      <c r="A46" s="1462" t="s">
        <v>500</v>
      </c>
      <c r="B46" s="1462"/>
      <c r="C46" s="1462"/>
      <c r="D46" s="1462"/>
      <c r="E46" s="1462"/>
      <c r="F46" s="1462"/>
      <c r="G46" s="1462"/>
      <c r="H46" s="1460" t="s">
        <v>166</v>
      </c>
      <c r="I46" s="1460"/>
      <c r="J46" s="1460" t="s">
        <v>165</v>
      </c>
      <c r="K46" s="1076" t="s">
        <v>501</v>
      </c>
      <c r="L46" s="1076" t="s">
        <v>484</v>
      </c>
    </row>
    <row r="47" spans="1:12" x14ac:dyDescent="0.2">
      <c r="A47" s="1462"/>
      <c r="B47" s="1462"/>
      <c r="C47" s="1462"/>
      <c r="D47" s="1462"/>
      <c r="E47" s="1462"/>
      <c r="F47" s="1462"/>
      <c r="G47" s="1462"/>
      <c r="H47" s="1460"/>
      <c r="I47" s="1460"/>
      <c r="J47" s="1460"/>
      <c r="K47" s="1110" t="s">
        <v>451</v>
      </c>
      <c r="L47" s="1026" t="s">
        <v>451</v>
      </c>
    </row>
    <row r="48" spans="1:12" x14ac:dyDescent="0.2">
      <c r="A48" s="1244"/>
      <c r="B48" s="942"/>
      <c r="C48" s="979"/>
      <c r="D48" s="942"/>
      <c r="E48" s="942"/>
      <c r="F48" s="942"/>
      <c r="G48" s="937"/>
      <c r="H48" s="1521"/>
      <c r="I48" s="1521"/>
      <c r="J48" s="1113"/>
      <c r="K48" s="1020"/>
      <c r="L48" s="1245">
        <f>ROUND(K48*H48,4)</f>
        <v>0</v>
      </c>
    </row>
    <row r="49" spans="1:12" x14ac:dyDescent="0.2">
      <c r="A49" s="1114"/>
      <c r="B49" s="979"/>
      <c r="C49" s="979"/>
      <c r="D49" s="942"/>
      <c r="E49" s="942"/>
      <c r="F49" s="942"/>
      <c r="G49" s="937"/>
      <c r="H49" s="1495"/>
      <c r="I49" s="1495"/>
      <c r="J49" s="1113"/>
      <c r="K49" s="1020"/>
      <c r="L49" s="1138">
        <f>ROUND(K49*H49,4)</f>
        <v>0</v>
      </c>
    </row>
    <row r="50" spans="1:12" x14ac:dyDescent="0.2">
      <c r="A50" s="1114"/>
      <c r="B50" s="979"/>
      <c r="C50" s="979"/>
      <c r="D50" s="942"/>
      <c r="E50" s="942"/>
      <c r="F50" s="942"/>
      <c r="G50" s="937"/>
      <c r="H50" s="1495"/>
      <c r="I50" s="1495"/>
      <c r="J50" s="1113"/>
      <c r="K50" s="1020"/>
      <c r="L50" s="1138">
        <f>ROUND(K50*H50,4)</f>
        <v>0</v>
      </c>
    </row>
    <row r="51" spans="1:12" x14ac:dyDescent="0.2">
      <c r="A51" s="1114"/>
      <c r="B51" s="979"/>
      <c r="C51" s="979">
        <f>-C49</f>
        <v>0</v>
      </c>
      <c r="D51" s="942"/>
      <c r="E51" s="942"/>
      <c r="F51" s="942"/>
      <c r="G51" s="937"/>
      <c r="H51" s="1495"/>
      <c r="I51" s="1495"/>
      <c r="J51" s="1113"/>
      <c r="K51" s="1020"/>
      <c r="L51" s="1138">
        <f>ROUND(K51*H51,4)</f>
        <v>0</v>
      </c>
    </row>
    <row r="52" spans="1:12" x14ac:dyDescent="0.2">
      <c r="A52" s="1114"/>
      <c r="B52" s="979"/>
      <c r="C52" s="979"/>
      <c r="D52" s="1083"/>
      <c r="E52" s="1083"/>
      <c r="F52" s="1083"/>
      <c r="G52" s="1115"/>
      <c r="H52" s="1512"/>
      <c r="I52" s="1512"/>
      <c r="J52" s="1113"/>
      <c r="K52" s="1020"/>
      <c r="L52" s="1246">
        <f>ROUND(K52*H52,4)</f>
        <v>0</v>
      </c>
    </row>
    <row r="53" spans="1:12" x14ac:dyDescent="0.2">
      <c r="A53" s="1454" t="s">
        <v>502</v>
      </c>
      <c r="B53" s="1454"/>
      <c r="C53" s="1454"/>
      <c r="D53" s="1454"/>
      <c r="E53" s="1454"/>
      <c r="F53" s="1454"/>
      <c r="G53" s="1454"/>
      <c r="H53" s="1454"/>
      <c r="I53" s="1454"/>
      <c r="J53" s="1454"/>
      <c r="K53" s="1454"/>
      <c r="L53" s="1108">
        <f>ROUND(SUM(L48:L52),4)</f>
        <v>0</v>
      </c>
    </row>
    <row r="54" spans="1:12" x14ac:dyDescent="0.2">
      <c r="A54" s="932"/>
      <c r="B54" s="932"/>
      <c r="C54" s="932"/>
      <c r="D54" s="932"/>
      <c r="E54" s="932"/>
      <c r="F54" s="932"/>
      <c r="G54" s="932"/>
      <c r="H54" s="932"/>
      <c r="I54" s="932"/>
      <c r="J54" s="910"/>
      <c r="K54" s="1117"/>
      <c r="L54" s="1118"/>
    </row>
    <row r="55" spans="1:12" ht="13.9" customHeight="1" x14ac:dyDescent="0.2">
      <c r="A55" s="1462" t="s">
        <v>503</v>
      </c>
      <c r="B55" s="1462"/>
      <c r="C55" s="1462"/>
      <c r="D55" s="1462"/>
      <c r="E55" s="1462"/>
      <c r="F55" s="1462"/>
      <c r="G55" s="1452" t="s">
        <v>504</v>
      </c>
      <c r="H55" s="1460" t="s">
        <v>505</v>
      </c>
      <c r="I55" s="1460"/>
      <c r="J55" s="1460"/>
      <c r="K55" s="1460"/>
      <c r="L55" s="1460" t="s">
        <v>506</v>
      </c>
    </row>
    <row r="56" spans="1:12" x14ac:dyDescent="0.2">
      <c r="A56" s="1462"/>
      <c r="B56" s="1462"/>
      <c r="C56" s="1462"/>
      <c r="D56" s="1462"/>
      <c r="E56" s="1462"/>
      <c r="F56" s="1462"/>
      <c r="G56" s="1452"/>
      <c r="H56" s="944" t="s">
        <v>112</v>
      </c>
      <c r="I56" s="1095" t="s">
        <v>380</v>
      </c>
      <c r="J56" s="1026" t="s">
        <v>383</v>
      </c>
      <c r="K56" s="1110" t="s">
        <v>385</v>
      </c>
      <c r="L56" s="1460"/>
    </row>
    <row r="57" spans="1:12" x14ac:dyDescent="0.2">
      <c r="A57" s="1462"/>
      <c r="B57" s="1462"/>
      <c r="C57" s="1462"/>
      <c r="D57" s="1462"/>
      <c r="E57" s="1462"/>
      <c r="F57" s="1462"/>
      <c r="G57" s="1452"/>
      <c r="H57" s="943" t="s">
        <v>507</v>
      </c>
      <c r="I57" s="1119"/>
      <c r="J57" s="1119"/>
      <c r="K57" s="1119"/>
      <c r="L57" s="1460"/>
    </row>
    <row r="58" spans="1:12" x14ac:dyDescent="0.2">
      <c r="A58" s="1488"/>
      <c r="B58" s="1489"/>
      <c r="C58" s="1490"/>
      <c r="D58" s="1502"/>
      <c r="E58" s="1502"/>
      <c r="F58" s="1503"/>
      <c r="G58" s="1493">
        <f>ROUND(H48/1000,5)</f>
        <v>0</v>
      </c>
      <c r="H58" s="1120" t="s">
        <v>508</v>
      </c>
      <c r="I58" s="1121"/>
      <c r="J58" s="1121"/>
      <c r="K58" s="1121"/>
      <c r="L58" s="1494">
        <f>ROUND(G58*($I$57*I59+$J$57*J59+$K$57*K59),4)</f>
        <v>0</v>
      </c>
    </row>
    <row r="59" spans="1:12" x14ac:dyDescent="0.2">
      <c r="A59" s="1488"/>
      <c r="B59" s="1489"/>
      <c r="C59" s="1490"/>
      <c r="D59" s="1502"/>
      <c r="E59" s="1502"/>
      <c r="F59" s="1503"/>
      <c r="G59" s="1493"/>
      <c r="H59" s="1122" t="s">
        <v>509</v>
      </c>
      <c r="I59" s="1123"/>
      <c r="J59" s="1123"/>
      <c r="K59" s="1123"/>
      <c r="L59" s="1494"/>
    </row>
    <row r="60" spans="1:12" x14ac:dyDescent="0.2">
      <c r="A60" s="1043"/>
      <c r="B60" s="958"/>
      <c r="C60" s="979"/>
      <c r="D60" s="1151"/>
      <c r="E60" s="1151"/>
      <c r="F60" s="1141"/>
      <c r="G60" s="1112"/>
      <c r="H60" s="1235"/>
      <c r="I60" s="1236"/>
      <c r="J60" s="961"/>
      <c r="K60" s="1116"/>
      <c r="L60" s="986"/>
    </row>
    <row r="61" spans="1:12" x14ac:dyDescent="0.2">
      <c r="A61" s="1114"/>
      <c r="B61" s="979"/>
      <c r="C61" s="979"/>
      <c r="D61" s="1083"/>
      <c r="E61" s="1083"/>
      <c r="F61" s="1083"/>
      <c r="G61" s="1096"/>
      <c r="H61" s="1247"/>
      <c r="I61" s="1247"/>
      <c r="J61" s="1137"/>
      <c r="K61" s="1044"/>
      <c r="L61" s="1138"/>
    </row>
    <row r="62" spans="1:12" x14ac:dyDescent="0.2">
      <c r="A62" s="1454" t="s">
        <v>510</v>
      </c>
      <c r="B62" s="1454"/>
      <c r="C62" s="1454"/>
      <c r="D62" s="1454"/>
      <c r="E62" s="1454"/>
      <c r="F62" s="1454"/>
      <c r="G62" s="1454"/>
      <c r="H62" s="1454"/>
      <c r="I62" s="1454"/>
      <c r="J62" s="1454"/>
      <c r="K62" s="1454"/>
      <c r="L62" s="1025">
        <f>ROUND(SUM(L58:L61),4)</f>
        <v>0</v>
      </c>
    </row>
    <row r="63" spans="1:12" x14ac:dyDescent="0.2">
      <c r="A63" s="1049"/>
      <c r="B63" s="1049"/>
      <c r="C63" s="1049"/>
      <c r="D63" s="1049"/>
      <c r="E63" s="1049"/>
      <c r="F63" s="1049"/>
      <c r="G63" s="932"/>
      <c r="H63" s="1050"/>
      <c r="I63" s="1050"/>
      <c r="J63" s="1051"/>
      <c r="K63" s="1052"/>
      <c r="L63" s="1125"/>
    </row>
    <row r="64" spans="1:12" x14ac:dyDescent="0.2">
      <c r="A64" s="1454" t="s">
        <v>460</v>
      </c>
      <c r="B64" s="1454"/>
      <c r="C64" s="1454"/>
      <c r="D64" s="1454"/>
      <c r="E64" s="1454"/>
      <c r="F64" s="1454"/>
      <c r="G64" s="1454"/>
      <c r="H64" s="1454"/>
      <c r="I64" s="1454"/>
      <c r="J64" s="1454"/>
      <c r="K64" s="1454"/>
      <c r="L64" s="1025">
        <f>ROUND(L44+L53+L62,4)</f>
        <v>0.35630000000000001</v>
      </c>
    </row>
    <row r="65" spans="1:12" x14ac:dyDescent="0.2">
      <c r="A65" s="1455" t="s">
        <v>461</v>
      </c>
      <c r="B65" s="1455"/>
      <c r="C65" s="1455"/>
      <c r="D65" s="1455"/>
      <c r="E65" s="1455"/>
      <c r="F65" s="1455"/>
      <c r="G65" s="1455"/>
      <c r="H65" s="1455"/>
      <c r="I65" s="1455"/>
      <c r="J65" s="1455"/>
      <c r="K65" s="1055">
        <v>0.25569999999999998</v>
      </c>
      <c r="L65" s="1056">
        <f>ROUND(L64*K65,4)</f>
        <v>9.11E-2</v>
      </c>
    </row>
    <row r="66" spans="1:12" x14ac:dyDescent="0.2">
      <c r="A66" s="1456" t="s">
        <v>462</v>
      </c>
      <c r="B66" s="1456"/>
      <c r="C66" s="1456"/>
      <c r="D66" s="1456"/>
      <c r="E66" s="1456"/>
      <c r="F66" s="1456"/>
      <c r="G66" s="1456"/>
      <c r="H66" s="1456"/>
      <c r="I66" s="1456"/>
      <c r="J66" s="1456"/>
      <c r="K66" s="1456"/>
      <c r="L66" s="1126">
        <f>ROUND(L64+L65,2)</f>
        <v>0.45</v>
      </c>
    </row>
    <row r="67" spans="1:12" x14ac:dyDescent="0.2">
      <c r="A67" s="1058"/>
      <c r="B67" s="1058"/>
      <c r="C67" s="1058"/>
      <c r="D67" s="1058"/>
      <c r="E67" s="1058"/>
      <c r="F67" s="1058"/>
      <c r="G67" s="1058"/>
      <c r="H67" s="1058"/>
      <c r="I67" s="1058"/>
      <c r="J67" s="1058"/>
      <c r="K67" s="1058"/>
      <c r="L67" s="1058"/>
    </row>
    <row r="68" spans="1:12" ht="24.75" customHeight="1" x14ac:dyDescent="0.2">
      <c r="A68" s="1059" t="s">
        <v>463</v>
      </c>
      <c r="B68" s="1060"/>
      <c r="C68" s="1518" t="s">
        <v>623</v>
      </c>
      <c r="D68" s="1518"/>
      <c r="E68" s="1518"/>
      <c r="F68" s="1518"/>
      <c r="G68" s="1518"/>
      <c r="H68" s="1518"/>
      <c r="I68" s="1518"/>
      <c r="J68" s="1518"/>
      <c r="K68" s="1518"/>
      <c r="L68" s="1518"/>
    </row>
    <row r="69" spans="1:12" ht="13.9" customHeight="1" x14ac:dyDescent="0.2">
      <c r="A69" s="1210"/>
      <c r="B69" s="1184"/>
      <c r="C69" s="1506" t="s">
        <v>575</v>
      </c>
      <c r="D69" s="1506"/>
      <c r="E69" s="1506"/>
      <c r="F69" s="1506"/>
      <c r="G69" s="1506"/>
      <c r="H69" s="1506"/>
      <c r="I69" s="1506"/>
      <c r="J69" s="1506"/>
      <c r="K69" s="1506"/>
      <c r="L69" s="1506"/>
    </row>
    <row r="70" spans="1:12" x14ac:dyDescent="0.2">
      <c r="A70" s="1251"/>
      <c r="B70" s="1073"/>
      <c r="C70" s="1073"/>
      <c r="D70" s="1073"/>
      <c r="E70" s="1073"/>
      <c r="F70" s="1073"/>
      <c r="G70" s="1073"/>
      <c r="H70" s="1073"/>
      <c r="I70" s="1073"/>
      <c r="J70" s="1073"/>
      <c r="K70" s="1073"/>
      <c r="L70" s="1074"/>
    </row>
  </sheetData>
  <mergeCells count="52">
    <mergeCell ref="A1:L1"/>
    <mergeCell ref="A2:L2"/>
    <mergeCell ref="A3:L3"/>
    <mergeCell ref="A4:L4"/>
    <mergeCell ref="A5:K5"/>
    <mergeCell ref="A6:K6"/>
    <mergeCell ref="A7:K7"/>
    <mergeCell ref="L7:L8"/>
    <mergeCell ref="A10:L10"/>
    <mergeCell ref="A12:D12"/>
    <mergeCell ref="E12:L12"/>
    <mergeCell ref="A15:L16"/>
    <mergeCell ref="E18:J18"/>
    <mergeCell ref="A20:F21"/>
    <mergeCell ref="G20:G21"/>
    <mergeCell ref="H20:I20"/>
    <mergeCell ref="J20:K20"/>
    <mergeCell ref="D23:F23"/>
    <mergeCell ref="A29:K29"/>
    <mergeCell ref="A31:I32"/>
    <mergeCell ref="J31:J32"/>
    <mergeCell ref="K31:K32"/>
    <mergeCell ref="D33:I33"/>
    <mergeCell ref="A37:K37"/>
    <mergeCell ref="A44:H44"/>
    <mergeCell ref="I44:K44"/>
    <mergeCell ref="A46:G47"/>
    <mergeCell ref="H46:I47"/>
    <mergeCell ref="J46:J47"/>
    <mergeCell ref="H48:I48"/>
    <mergeCell ref="H49:I49"/>
    <mergeCell ref="H50:I50"/>
    <mergeCell ref="H51:I51"/>
    <mergeCell ref="H52:I52"/>
    <mergeCell ref="A53:K53"/>
    <mergeCell ref="A55:F57"/>
    <mergeCell ref="G55:G57"/>
    <mergeCell ref="H55:K55"/>
    <mergeCell ref="L55:L57"/>
    <mergeCell ref="A66:K66"/>
    <mergeCell ref="C68:L68"/>
    <mergeCell ref="C69:L69"/>
    <mergeCell ref="G58:G59"/>
    <mergeCell ref="L58:L59"/>
    <mergeCell ref="A62:K62"/>
    <mergeCell ref="A64:K64"/>
    <mergeCell ref="A65:J65"/>
    <mergeCell ref="A58:A59"/>
    <mergeCell ref="B58:B59"/>
    <mergeCell ref="C58:C59"/>
    <mergeCell ref="D58:E59"/>
    <mergeCell ref="F58:F59"/>
  </mergeCells>
  <dataValidations count="1">
    <dataValidation allowBlank="1" showInputMessage="1" showErrorMessage="1" prompt="Clique duas vezes sobre o número do item para ser direcionado à Planilha Orçamentária." sqref="D18" xr:uid="{00000000-0002-0000-2000-000000000000}">
      <formula1>0</formula1>
      <formula2>0</formula2>
    </dataValidation>
  </dataValidations>
  <printOptions horizontalCentered="1" verticalCentered="1"/>
  <pageMargins left="0.51180555555555496" right="0.51180555555555496" top="0.78749999999999998" bottom="0.78749999999999998" header="0.51180555555555496" footer="0.51180555555555496"/>
  <pageSetup paperSize="9" scale="72" firstPageNumber="0"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L78"/>
  <sheetViews>
    <sheetView topLeftCell="A58" zoomScale="83" zoomScaleNormal="83" workbookViewId="0">
      <selection activeCell="P139" sqref="P139"/>
    </sheetView>
  </sheetViews>
  <sheetFormatPr defaultRowHeight="15" x14ac:dyDescent="0.2"/>
  <cols>
    <col min="1" max="2" width="7.6640625" style="902" customWidth="1"/>
    <col min="3" max="3" width="1.8828125" style="902" customWidth="1"/>
    <col min="4" max="4" width="3.765625" style="902" customWidth="1"/>
    <col min="5" max="5" width="23.67578125" style="902" customWidth="1"/>
    <col min="6" max="6" width="12.64453125" style="902" customWidth="1"/>
    <col min="7" max="7" width="8.7421875" style="902" customWidth="1"/>
    <col min="8" max="8" width="9.81640625" style="902" customWidth="1"/>
    <col min="9" max="11" width="8.7421875" style="902" customWidth="1"/>
    <col min="12" max="12" width="10.76171875" style="902" customWidth="1"/>
    <col min="13" max="1025" width="8.7421875" customWidth="1"/>
  </cols>
  <sheetData>
    <row r="1" spans="1:12" x14ac:dyDescent="0.2">
      <c r="A1" s="1474"/>
      <c r="B1" s="1474"/>
      <c r="C1" s="1474"/>
      <c r="D1" s="1474"/>
      <c r="E1" s="1474"/>
      <c r="F1" s="1474"/>
      <c r="G1" s="1474"/>
      <c r="H1" s="1474"/>
      <c r="I1" s="1474"/>
      <c r="J1" s="1474"/>
      <c r="K1" s="1474"/>
      <c r="L1" s="1474"/>
    </row>
    <row r="2" spans="1:12" x14ac:dyDescent="0.2">
      <c r="A2" s="1475" t="s">
        <v>629</v>
      </c>
      <c r="B2" s="1475"/>
      <c r="C2" s="1475"/>
      <c r="D2" s="1475"/>
      <c r="E2" s="1475"/>
      <c r="F2" s="1475"/>
      <c r="G2" s="1475"/>
      <c r="H2" s="1475"/>
      <c r="I2" s="1475"/>
      <c r="J2" s="1475"/>
      <c r="K2" s="1475"/>
      <c r="L2" s="1475"/>
    </row>
    <row r="3" spans="1:12" ht="9" customHeight="1" x14ac:dyDescent="0.2">
      <c r="A3" s="1474"/>
      <c r="B3" s="1474"/>
      <c r="C3" s="1474"/>
      <c r="D3" s="1474"/>
      <c r="E3" s="1474"/>
      <c r="F3" s="1474"/>
      <c r="G3" s="1474"/>
      <c r="H3" s="1474"/>
      <c r="I3" s="1474"/>
      <c r="J3" s="1474"/>
      <c r="K3" s="1474"/>
      <c r="L3" s="1474"/>
    </row>
    <row r="4" spans="1:12" ht="9" customHeight="1" x14ac:dyDescent="0.2">
      <c r="A4" s="1476"/>
      <c r="B4" s="1476"/>
      <c r="C4" s="1476"/>
      <c r="D4" s="1476"/>
      <c r="E4" s="1476"/>
      <c r="F4" s="1476"/>
      <c r="G4" s="1476"/>
      <c r="H4" s="1476"/>
      <c r="I4" s="1476"/>
      <c r="J4" s="1476"/>
      <c r="K4" s="1476"/>
      <c r="L4" s="1476"/>
    </row>
    <row r="5" spans="1:12" x14ac:dyDescent="0.2">
      <c r="A5" s="1477"/>
      <c r="B5" s="1477"/>
      <c r="C5" s="1477"/>
      <c r="D5" s="1477"/>
      <c r="E5" s="1477"/>
      <c r="F5" s="1477"/>
      <c r="G5" s="1477"/>
      <c r="H5" s="1477"/>
      <c r="I5" s="1477"/>
      <c r="J5" s="1477"/>
      <c r="K5" s="1477"/>
      <c r="L5" s="903" t="s">
        <v>419</v>
      </c>
    </row>
    <row r="6" spans="1:12" ht="9" customHeight="1" x14ac:dyDescent="0.2">
      <c r="A6" s="1469"/>
      <c r="B6" s="1469"/>
      <c r="C6" s="1469"/>
      <c r="D6" s="1469"/>
      <c r="E6" s="1469"/>
      <c r="F6" s="1469"/>
      <c r="G6" s="1469"/>
      <c r="H6" s="1469"/>
      <c r="I6" s="1469"/>
      <c r="J6" s="1469"/>
      <c r="K6" s="1469"/>
      <c r="L6" s="1075"/>
    </row>
    <row r="7" spans="1:12" ht="13.9" customHeight="1" x14ac:dyDescent="0.2">
      <c r="A7" s="1469"/>
      <c r="B7" s="1469"/>
      <c r="C7" s="1469"/>
      <c r="D7" s="1469"/>
      <c r="E7" s="1469"/>
      <c r="F7" s="1469"/>
      <c r="G7" s="1469"/>
      <c r="H7" s="1469"/>
      <c r="I7" s="1469"/>
      <c r="J7" s="1469"/>
      <c r="K7" s="1469"/>
      <c r="L7" s="1470" t="s">
        <v>222</v>
      </c>
    </row>
    <row r="8" spans="1:12" x14ac:dyDescent="0.2">
      <c r="A8" s="904"/>
      <c r="B8" s="905"/>
      <c r="C8" s="906"/>
      <c r="D8" s="907"/>
      <c r="E8" s="908"/>
      <c r="F8" s="906"/>
      <c r="G8" s="906"/>
      <c r="H8" s="906"/>
      <c r="I8" s="906"/>
      <c r="J8" s="906"/>
      <c r="K8" s="909"/>
      <c r="L8" s="1470"/>
    </row>
    <row r="9" spans="1:12" x14ac:dyDescent="0.2">
      <c r="A9" s="910"/>
      <c r="B9" s="910"/>
      <c r="C9" s="911"/>
      <c r="D9" s="912"/>
      <c r="E9" s="912"/>
      <c r="F9" s="913"/>
      <c r="G9" s="913"/>
      <c r="H9" s="913"/>
      <c r="I9" s="913"/>
      <c r="J9" s="913"/>
      <c r="K9" s="913"/>
      <c r="L9" s="914"/>
    </row>
    <row r="10" spans="1:12" ht="9" customHeight="1" x14ac:dyDescent="0.2">
      <c r="A10" s="1471"/>
      <c r="B10" s="1471"/>
      <c r="C10" s="1471"/>
      <c r="D10" s="1471"/>
      <c r="E10" s="1471"/>
      <c r="F10" s="1471"/>
      <c r="G10" s="1471"/>
      <c r="H10" s="1471"/>
      <c r="I10" s="1471"/>
      <c r="J10" s="1471"/>
      <c r="K10" s="1471"/>
      <c r="L10" s="1471"/>
    </row>
    <row r="11" spans="1:12" ht="9" customHeight="1" x14ac:dyDescent="0.2">
      <c r="A11" s="915"/>
      <c r="B11" s="912"/>
      <c r="C11" s="911"/>
      <c r="D11" s="912"/>
      <c r="E11" s="911"/>
      <c r="F11" s="911"/>
      <c r="G11" s="911"/>
      <c r="H11" s="911"/>
      <c r="I11" s="911"/>
      <c r="J11" s="911"/>
      <c r="K11" s="911"/>
      <c r="L11" s="916"/>
    </row>
    <row r="12" spans="1:12" x14ac:dyDescent="0.2">
      <c r="A12" s="1472" t="s">
        <v>421</v>
      </c>
      <c r="B12" s="1472"/>
      <c r="C12" s="1472"/>
      <c r="D12" s="1472"/>
      <c r="E12" s="1542" t="s">
        <v>648</v>
      </c>
      <c r="F12" s="1542"/>
      <c r="G12" s="1542"/>
      <c r="H12" s="1542"/>
      <c r="I12" s="1542"/>
      <c r="J12" s="1542"/>
      <c r="K12" s="1542"/>
      <c r="L12" s="1542"/>
    </row>
    <row r="13" spans="1:12" x14ac:dyDescent="0.2">
      <c r="A13" s="920"/>
      <c r="B13" s="907"/>
      <c r="C13" s="921"/>
      <c r="D13" s="907"/>
      <c r="E13" s="907"/>
      <c r="F13" s="906"/>
      <c r="G13" s="906"/>
      <c r="H13" s="906"/>
      <c r="I13" s="906"/>
      <c r="J13" s="906"/>
      <c r="K13" s="906"/>
      <c r="L13" s="922"/>
    </row>
    <row r="14" spans="1:12" x14ac:dyDescent="0.2">
      <c r="A14" s="913"/>
      <c r="B14" s="913"/>
      <c r="C14" s="913"/>
      <c r="D14" s="913"/>
      <c r="E14" s="913"/>
      <c r="F14" s="913"/>
      <c r="G14" s="913"/>
      <c r="H14" s="913"/>
      <c r="I14" s="913"/>
      <c r="J14" s="913"/>
      <c r="K14" s="913"/>
      <c r="L14" s="914"/>
    </row>
    <row r="15" spans="1:12" x14ac:dyDescent="0.2">
      <c r="A15" s="1473" t="s">
        <v>422</v>
      </c>
      <c r="B15" s="1473"/>
      <c r="C15" s="1473"/>
      <c r="D15" s="1473"/>
      <c r="E15" s="1473"/>
      <c r="F15" s="1473"/>
      <c r="G15" s="1473"/>
      <c r="H15" s="1473"/>
      <c r="I15" s="1473"/>
      <c r="J15" s="1473"/>
      <c r="K15" s="1473"/>
      <c r="L15" s="1473"/>
    </row>
    <row r="16" spans="1:12" x14ac:dyDescent="0.2">
      <c r="A16" s="1473"/>
      <c r="B16" s="1473"/>
      <c r="C16" s="1473"/>
      <c r="D16" s="1473"/>
      <c r="E16" s="1473"/>
      <c r="F16" s="1473"/>
      <c r="G16" s="1473"/>
      <c r="H16" s="1473"/>
      <c r="I16" s="1473"/>
      <c r="J16" s="1473"/>
      <c r="K16" s="1473"/>
      <c r="L16" s="1473"/>
    </row>
    <row r="17" spans="1:12" ht="9" customHeight="1" x14ac:dyDescent="0.2">
      <c r="A17" s="923"/>
      <c r="B17" s="923"/>
      <c r="C17" s="923"/>
      <c r="D17" s="923"/>
      <c r="E17" s="923"/>
      <c r="F17" s="923"/>
      <c r="G17" s="923"/>
      <c r="H17" s="923"/>
      <c r="I17" s="923"/>
      <c r="J17" s="923"/>
      <c r="K17" s="923"/>
      <c r="L17" s="923"/>
    </row>
    <row r="18" spans="1:12" ht="21.75" customHeight="1" x14ac:dyDescent="0.2">
      <c r="A18" s="924" t="s">
        <v>423</v>
      </c>
      <c r="B18" s="925"/>
      <c r="C18" s="925"/>
      <c r="D18" s="926" t="s">
        <v>222</v>
      </c>
      <c r="E18" s="1515" t="s">
        <v>624</v>
      </c>
      <c r="F18" s="1515"/>
      <c r="G18" s="1515"/>
      <c r="H18" s="1515"/>
      <c r="I18" s="1515"/>
      <c r="J18" s="1515"/>
      <c r="K18" s="928" t="s">
        <v>425</v>
      </c>
      <c r="L18" s="929" t="s">
        <v>482</v>
      </c>
    </row>
    <row r="19" spans="1:12" ht="9" customHeight="1" x14ac:dyDescent="0.2">
      <c r="A19" s="910"/>
      <c r="B19" s="910"/>
      <c r="C19" s="910"/>
      <c r="D19" s="910"/>
      <c r="E19" s="910"/>
      <c r="F19" s="910"/>
      <c r="G19" s="910"/>
      <c r="H19" s="910"/>
      <c r="I19" s="910"/>
      <c r="J19" s="910"/>
      <c r="K19" s="910"/>
      <c r="L19" s="910"/>
    </row>
    <row r="20" spans="1:12" x14ac:dyDescent="0.2">
      <c r="A20" s="1462" t="s">
        <v>434</v>
      </c>
      <c r="B20" s="1462"/>
      <c r="C20" s="1462"/>
      <c r="D20" s="1462"/>
      <c r="E20" s="1462"/>
      <c r="F20" s="1462"/>
      <c r="G20" s="1460" t="s">
        <v>166</v>
      </c>
      <c r="H20" s="1460" t="s">
        <v>362</v>
      </c>
      <c r="I20" s="1460"/>
      <c r="J20" s="1500" t="s">
        <v>483</v>
      </c>
      <c r="K20" s="1500"/>
      <c r="L20" s="1076" t="s">
        <v>484</v>
      </c>
    </row>
    <row r="21" spans="1:12" x14ac:dyDescent="0.2">
      <c r="A21" s="1462"/>
      <c r="B21" s="1462"/>
      <c r="C21" s="1462"/>
      <c r="D21" s="1462"/>
      <c r="E21" s="1462"/>
      <c r="F21" s="1462"/>
      <c r="G21" s="1460"/>
      <c r="H21" s="943" t="s">
        <v>485</v>
      </c>
      <c r="I21" s="1077" t="s">
        <v>486</v>
      </c>
      <c r="J21" s="943" t="s">
        <v>485</v>
      </c>
      <c r="K21" s="1077" t="s">
        <v>486</v>
      </c>
      <c r="L21" s="1026" t="s">
        <v>487</v>
      </c>
    </row>
    <row r="22" spans="1:12" ht="21" customHeight="1" x14ac:dyDescent="0.2">
      <c r="A22" s="1043" t="s">
        <v>379</v>
      </c>
      <c r="B22" s="1130" t="s">
        <v>649</v>
      </c>
      <c r="C22" s="979" t="s">
        <v>442</v>
      </c>
      <c r="D22" s="1520" t="s">
        <v>630</v>
      </c>
      <c r="E22" s="1520"/>
      <c r="F22" s="1520"/>
      <c r="G22" s="1112">
        <v>1</v>
      </c>
      <c r="H22" s="1116">
        <v>0.5</v>
      </c>
      <c r="I22" s="961">
        <v>0.5</v>
      </c>
      <c r="J22" s="986">
        <v>159.31229999999999</v>
      </c>
      <c r="K22" s="986">
        <v>52.926499999999997</v>
      </c>
      <c r="L22" s="986">
        <f>(G22*H22*J22)+(G22*I22*K22)</f>
        <v>106.1194</v>
      </c>
    </row>
    <row r="23" spans="1:12" x14ac:dyDescent="0.2">
      <c r="A23" s="1153"/>
      <c r="B23" s="942"/>
      <c r="C23" s="979"/>
      <c r="D23" s="942"/>
      <c r="E23" s="942"/>
      <c r="F23" s="942"/>
      <c r="G23" s="1112"/>
      <c r="H23" s="1116"/>
      <c r="I23" s="961"/>
      <c r="J23" s="1081"/>
      <c r="K23" s="1087"/>
      <c r="L23" s="986">
        <f>(G23*H23*J23)+(G23*I23*K23)</f>
        <v>0</v>
      </c>
    </row>
    <row r="24" spans="1:12" x14ac:dyDescent="0.2">
      <c r="A24" s="1153"/>
      <c r="B24" s="942"/>
      <c r="C24" s="979"/>
      <c r="D24" s="942"/>
      <c r="E24" s="942"/>
      <c r="F24" s="942"/>
      <c r="G24" s="1096"/>
      <c r="H24" s="1116"/>
      <c r="I24" s="961"/>
      <c r="J24" s="1086"/>
      <c r="K24" s="1087"/>
      <c r="L24" s="986"/>
    </row>
    <row r="25" spans="1:12" x14ac:dyDescent="0.2">
      <c r="A25" s="1497" t="s">
        <v>488</v>
      </c>
      <c r="B25" s="1497"/>
      <c r="C25" s="1497"/>
      <c r="D25" s="1497"/>
      <c r="E25" s="1497"/>
      <c r="F25" s="1497"/>
      <c r="G25" s="1497"/>
      <c r="H25" s="1497"/>
      <c r="I25" s="1497"/>
      <c r="J25" s="1497"/>
      <c r="K25" s="1497"/>
      <c r="L25" s="1035">
        <f>ROUND(SUM(L22:L24),4)</f>
        <v>106.1194</v>
      </c>
    </row>
    <row r="26" spans="1:12" ht="9" customHeight="1" x14ac:dyDescent="0.2">
      <c r="A26" s="930"/>
      <c r="B26" s="930"/>
      <c r="C26" s="930"/>
      <c r="D26" s="930"/>
      <c r="E26" s="930"/>
      <c r="F26" s="930"/>
      <c r="G26" s="930"/>
      <c r="H26" s="1023"/>
      <c r="I26" s="1023"/>
      <c r="J26" s="1023"/>
      <c r="K26" s="1023"/>
      <c r="L26" s="1023"/>
    </row>
    <row r="27" spans="1:12" ht="13.9" customHeight="1" x14ac:dyDescent="0.2">
      <c r="A27" s="1462" t="s">
        <v>447</v>
      </c>
      <c r="B27" s="1462"/>
      <c r="C27" s="1462"/>
      <c r="D27" s="1462"/>
      <c r="E27" s="1462"/>
      <c r="F27" s="1462"/>
      <c r="G27" s="1462"/>
      <c r="H27" s="1462"/>
      <c r="I27" s="1462"/>
      <c r="J27" s="1460" t="s">
        <v>166</v>
      </c>
      <c r="K27" s="1452" t="s">
        <v>489</v>
      </c>
      <c r="L27" s="1076" t="s">
        <v>449</v>
      </c>
    </row>
    <row r="28" spans="1:12" x14ac:dyDescent="0.2">
      <c r="A28" s="1462"/>
      <c r="B28" s="1462"/>
      <c r="C28" s="1462"/>
      <c r="D28" s="1462"/>
      <c r="E28" s="1462"/>
      <c r="F28" s="1462"/>
      <c r="G28" s="1462"/>
      <c r="H28" s="1462"/>
      <c r="I28" s="1462"/>
      <c r="J28" s="1460"/>
      <c r="K28" s="1452"/>
      <c r="L28" s="1026" t="s">
        <v>487</v>
      </c>
    </row>
    <row r="29" spans="1:12" x14ac:dyDescent="0.2">
      <c r="A29" s="1043" t="s">
        <v>379</v>
      </c>
      <c r="B29" s="1130" t="s">
        <v>713</v>
      </c>
      <c r="C29" s="979" t="s">
        <v>442</v>
      </c>
      <c r="D29" s="1525" t="s">
        <v>714</v>
      </c>
      <c r="E29" s="1525"/>
      <c r="F29" s="1525"/>
      <c r="G29" s="1525"/>
      <c r="H29" s="1525"/>
      <c r="I29" s="1525"/>
      <c r="J29" s="1080">
        <v>8</v>
      </c>
      <c r="K29" s="1020">
        <v>15.3812</v>
      </c>
      <c r="L29" s="1243">
        <f>J29*K29</f>
        <v>123.0496</v>
      </c>
    </row>
    <row r="30" spans="1:12" x14ac:dyDescent="0.2">
      <c r="A30" s="1082"/>
      <c r="B30" s="1083"/>
      <c r="C30" s="1083"/>
      <c r="D30" s="1083"/>
      <c r="E30" s="1083"/>
      <c r="F30" s="1083"/>
      <c r="G30" s="905"/>
      <c r="H30" s="1077"/>
      <c r="I30" s="1095"/>
      <c r="J30" s="1085"/>
      <c r="K30" s="1020"/>
      <c r="L30" s="1243">
        <f>J30*K30</f>
        <v>0</v>
      </c>
    </row>
    <row r="31" spans="1:12" x14ac:dyDescent="0.2">
      <c r="A31" s="1497" t="s">
        <v>490</v>
      </c>
      <c r="B31" s="1497"/>
      <c r="C31" s="1497"/>
      <c r="D31" s="1497"/>
      <c r="E31" s="1497"/>
      <c r="F31" s="1497"/>
      <c r="G31" s="1497"/>
      <c r="H31" s="1497"/>
      <c r="I31" s="1497"/>
      <c r="J31" s="1497"/>
      <c r="K31" s="1497"/>
      <c r="L31" s="1035">
        <f>ROUND(SUM(L29:L30),4)</f>
        <v>123.0496</v>
      </c>
    </row>
    <row r="32" spans="1:12" x14ac:dyDescent="0.2">
      <c r="A32" s="930"/>
      <c r="B32" s="930"/>
      <c r="C32" s="930"/>
      <c r="D32" s="930"/>
      <c r="E32" s="930"/>
      <c r="F32" s="930"/>
      <c r="G32" s="930"/>
      <c r="H32" s="930"/>
      <c r="I32" s="930"/>
      <c r="J32" s="1023"/>
      <c r="K32" s="1023"/>
      <c r="L32" s="1099"/>
    </row>
    <row r="33" spans="1:12" x14ac:dyDescent="0.2">
      <c r="A33" s="930"/>
      <c r="B33" s="930"/>
      <c r="C33" s="930"/>
      <c r="D33" s="930"/>
      <c r="E33" s="930"/>
      <c r="F33" s="930"/>
      <c r="G33" s="930"/>
      <c r="H33" s="930"/>
      <c r="I33" s="930"/>
      <c r="J33" s="1023"/>
      <c r="K33" s="1100" t="s">
        <v>491</v>
      </c>
      <c r="L33" s="1101">
        <f>L25+L31</f>
        <v>229.16899999999998</v>
      </c>
    </row>
    <row r="34" spans="1:12" x14ac:dyDescent="0.2">
      <c r="A34" s="1102" t="s">
        <v>492</v>
      </c>
      <c r="B34" s="930"/>
      <c r="C34" s="930"/>
      <c r="D34" s="930"/>
      <c r="E34" s="930"/>
      <c r="F34" s="1103">
        <v>415</v>
      </c>
      <c r="G34" s="1257" t="str">
        <f>L18</f>
        <v>m²</v>
      </c>
      <c r="H34" s="1102"/>
      <c r="I34" s="930"/>
      <c r="J34" s="1105"/>
      <c r="K34" s="1106" t="s">
        <v>493</v>
      </c>
      <c r="L34" s="1035">
        <f>ROUND(L33/F34,4)</f>
        <v>0.55220000000000002</v>
      </c>
    </row>
    <row r="35" spans="1:12" x14ac:dyDescent="0.2">
      <c r="A35" s="1102"/>
      <c r="B35" s="930" t="s">
        <v>494</v>
      </c>
      <c r="C35" s="930"/>
      <c r="D35" s="930"/>
      <c r="E35" s="930"/>
      <c r="F35" s="1103"/>
      <c r="G35" s="1104"/>
      <c r="H35" s="1102"/>
      <c r="I35" s="930"/>
      <c r="J35" s="1105"/>
      <c r="K35" s="1100" t="s">
        <v>495</v>
      </c>
      <c r="L35" s="1035">
        <f>ROUND(L34*F35,4)</f>
        <v>0</v>
      </c>
    </row>
    <row r="36" spans="1:12" x14ac:dyDescent="0.2">
      <c r="A36" s="1102"/>
      <c r="B36" s="930" t="s">
        <v>496</v>
      </c>
      <c r="C36" s="930"/>
      <c r="D36" s="930"/>
      <c r="E36" s="930"/>
      <c r="F36" s="1202"/>
      <c r="G36" s="1104"/>
      <c r="H36" s="1105"/>
      <c r="I36" s="1107"/>
      <c r="J36" s="1023"/>
      <c r="K36" s="1100" t="s">
        <v>497</v>
      </c>
      <c r="L36" s="1035">
        <f>L34*F36</f>
        <v>0</v>
      </c>
    </row>
    <row r="37" spans="1:12" x14ac:dyDescent="0.2">
      <c r="A37" s="930"/>
      <c r="B37" s="930"/>
      <c r="C37" s="930"/>
      <c r="D37" s="930"/>
      <c r="E37" s="930"/>
      <c r="F37" s="930"/>
      <c r="G37" s="930"/>
      <c r="H37" s="930"/>
      <c r="I37" s="930"/>
      <c r="J37" s="1023"/>
      <c r="K37" s="1023"/>
      <c r="L37" s="1099"/>
    </row>
    <row r="38" spans="1:12" x14ac:dyDescent="0.2">
      <c r="A38" s="1462" t="s">
        <v>498</v>
      </c>
      <c r="B38" s="1462"/>
      <c r="C38" s="1462"/>
      <c r="D38" s="1462"/>
      <c r="E38" s="1462"/>
      <c r="F38" s="1462"/>
      <c r="G38" s="1462"/>
      <c r="H38" s="1462"/>
      <c r="I38" s="1456" t="s">
        <v>499</v>
      </c>
      <c r="J38" s="1456"/>
      <c r="K38" s="1456"/>
      <c r="L38" s="1108">
        <f>ROUND(SUM(L34:L37),4)</f>
        <v>0.55220000000000002</v>
      </c>
    </row>
    <row r="39" spans="1:12" x14ac:dyDescent="0.2">
      <c r="A39" s="910"/>
      <c r="B39" s="910"/>
      <c r="C39" s="910"/>
      <c r="D39" s="910"/>
      <c r="E39" s="910"/>
      <c r="F39" s="910"/>
      <c r="G39" s="1109"/>
      <c r="H39" s="1109"/>
      <c r="I39" s="933"/>
      <c r="J39" s="933"/>
      <c r="K39" s="933"/>
      <c r="L39" s="910"/>
    </row>
    <row r="40" spans="1:12" x14ac:dyDescent="0.2">
      <c r="A40" s="1462" t="s">
        <v>500</v>
      </c>
      <c r="B40" s="1462"/>
      <c r="C40" s="1462"/>
      <c r="D40" s="1462"/>
      <c r="E40" s="1462"/>
      <c r="F40" s="1462"/>
      <c r="G40" s="1462"/>
      <c r="H40" s="1460" t="s">
        <v>166</v>
      </c>
      <c r="I40" s="1460"/>
      <c r="J40" s="1460" t="s">
        <v>165</v>
      </c>
      <c r="K40" s="943" t="s">
        <v>501</v>
      </c>
      <c r="L40" s="943" t="s">
        <v>484</v>
      </c>
    </row>
    <row r="41" spans="1:12" x14ac:dyDescent="0.2">
      <c r="A41" s="1462"/>
      <c r="B41" s="1462"/>
      <c r="C41" s="1462"/>
      <c r="D41" s="1462"/>
      <c r="E41" s="1462"/>
      <c r="F41" s="1462"/>
      <c r="G41" s="1462"/>
      <c r="H41" s="1460"/>
      <c r="I41" s="1460"/>
      <c r="J41" s="1460"/>
      <c r="K41" s="1301" t="s">
        <v>451</v>
      </c>
      <c r="L41" s="943" t="s">
        <v>451</v>
      </c>
    </row>
    <row r="42" spans="1:12" x14ac:dyDescent="0.2">
      <c r="A42" s="1078" t="s">
        <v>379</v>
      </c>
      <c r="B42" s="1079" t="s">
        <v>774</v>
      </c>
      <c r="C42" s="1050" t="s">
        <v>442</v>
      </c>
      <c r="D42" s="1527" t="s">
        <v>775</v>
      </c>
      <c r="E42" s="1527"/>
      <c r="F42" s="1527"/>
      <c r="G42" s="1527"/>
      <c r="H42" s="1552">
        <v>3.0000000000000001E-3</v>
      </c>
      <c r="I42" s="1552"/>
      <c r="J42" s="1302" t="s">
        <v>729</v>
      </c>
      <c r="K42" s="1091">
        <v>1.7186999999999999</v>
      </c>
      <c r="L42" s="1245">
        <f t="shared" ref="L42:L48" si="0">H42*K42</f>
        <v>5.1560999999999994E-3</v>
      </c>
    </row>
    <row r="43" spans="1:12" x14ac:dyDescent="0.2">
      <c r="A43" s="1043" t="s">
        <v>379</v>
      </c>
      <c r="B43" s="1130" t="s">
        <v>776</v>
      </c>
      <c r="C43" s="979" t="s">
        <v>442</v>
      </c>
      <c r="D43" s="1525" t="s">
        <v>777</v>
      </c>
      <c r="E43" s="1525"/>
      <c r="F43" s="1525"/>
      <c r="G43" s="1525"/>
      <c r="H43" s="1550">
        <v>5.0000000000000001E-3</v>
      </c>
      <c r="I43" s="1550"/>
      <c r="J43" s="1113" t="s">
        <v>729</v>
      </c>
      <c r="K43" s="1044">
        <v>1.4545999999999999</v>
      </c>
      <c r="L43" s="1138">
        <f t="shared" si="0"/>
        <v>7.273E-3</v>
      </c>
    </row>
    <row r="44" spans="1:12" x14ac:dyDescent="0.2">
      <c r="A44" s="1043" t="s">
        <v>379</v>
      </c>
      <c r="B44" s="1130" t="s">
        <v>778</v>
      </c>
      <c r="C44" s="979" t="s">
        <v>442</v>
      </c>
      <c r="D44" s="1525" t="s">
        <v>779</v>
      </c>
      <c r="E44" s="1525"/>
      <c r="F44" s="1525"/>
      <c r="G44" s="1525"/>
      <c r="H44" s="1550">
        <v>2.5000000000000001E-2</v>
      </c>
      <c r="I44" s="1550"/>
      <c r="J44" s="1113" t="s">
        <v>729</v>
      </c>
      <c r="K44" s="1044">
        <v>2.0247000000000002</v>
      </c>
      <c r="L44" s="1138">
        <f t="shared" si="0"/>
        <v>5.061750000000001E-2</v>
      </c>
    </row>
    <row r="45" spans="1:12" x14ac:dyDescent="0.2">
      <c r="A45" s="1043" t="s">
        <v>379</v>
      </c>
      <c r="B45" s="1130" t="s">
        <v>780</v>
      </c>
      <c r="C45" s="979" t="s">
        <v>442</v>
      </c>
      <c r="D45" s="1525" t="s">
        <v>781</v>
      </c>
      <c r="E45" s="1525"/>
      <c r="F45" s="1525"/>
      <c r="G45" s="1525"/>
      <c r="H45" s="1550">
        <v>0.02</v>
      </c>
      <c r="I45" s="1550"/>
      <c r="J45" s="1113" t="s">
        <v>729</v>
      </c>
      <c r="K45" s="1044">
        <v>1.784</v>
      </c>
      <c r="L45" s="1138">
        <f t="shared" si="0"/>
        <v>3.5680000000000003E-2</v>
      </c>
    </row>
    <row r="46" spans="1:12" x14ac:dyDescent="0.2">
      <c r="A46" s="1043" t="s">
        <v>379</v>
      </c>
      <c r="B46" s="1130" t="s">
        <v>782</v>
      </c>
      <c r="C46" s="979" t="s">
        <v>442</v>
      </c>
      <c r="D46" s="1525" t="s">
        <v>783</v>
      </c>
      <c r="E46" s="1525"/>
      <c r="F46" s="1525"/>
      <c r="G46" s="1525"/>
      <c r="H46" s="1550">
        <v>2.5000000000000001E-2</v>
      </c>
      <c r="I46" s="1550"/>
      <c r="J46" s="1113" t="s">
        <v>729</v>
      </c>
      <c r="K46" s="1044">
        <v>19.899999999999999</v>
      </c>
      <c r="L46" s="1138">
        <f t="shared" si="0"/>
        <v>0.4975</v>
      </c>
    </row>
    <row r="47" spans="1:12" x14ac:dyDescent="0.2">
      <c r="A47" s="1043" t="s">
        <v>379</v>
      </c>
      <c r="B47" s="1130" t="s">
        <v>784</v>
      </c>
      <c r="C47" s="979" t="s">
        <v>442</v>
      </c>
      <c r="D47" s="1525" t="s">
        <v>785</v>
      </c>
      <c r="E47" s="1525"/>
      <c r="F47" s="1525"/>
      <c r="G47" s="1525"/>
      <c r="H47" s="1550">
        <v>0.2</v>
      </c>
      <c r="I47" s="1550"/>
      <c r="J47" s="1113" t="s">
        <v>729</v>
      </c>
      <c r="K47" s="1044">
        <v>0.222</v>
      </c>
      <c r="L47" s="1138">
        <f t="shared" si="0"/>
        <v>4.4400000000000002E-2</v>
      </c>
    </row>
    <row r="48" spans="1:12" x14ac:dyDescent="0.2">
      <c r="A48" s="1043" t="s">
        <v>379</v>
      </c>
      <c r="B48" s="1130" t="s">
        <v>786</v>
      </c>
      <c r="C48" s="979" t="s">
        <v>442</v>
      </c>
      <c r="D48" s="1525" t="s">
        <v>787</v>
      </c>
      <c r="E48" s="1525"/>
      <c r="F48" s="1525"/>
      <c r="G48" s="1525"/>
      <c r="H48" s="1550">
        <v>0.125</v>
      </c>
      <c r="I48" s="1550"/>
      <c r="J48" s="1113" t="s">
        <v>729</v>
      </c>
      <c r="K48" s="1044">
        <v>0.1671</v>
      </c>
      <c r="L48" s="1138">
        <f t="shared" si="0"/>
        <v>2.08875E-2</v>
      </c>
    </row>
    <row r="49" spans="1:12" x14ac:dyDescent="0.2">
      <c r="A49" s="1093"/>
      <c r="B49" s="1094"/>
      <c r="C49" s="1077"/>
      <c r="D49" s="1083"/>
      <c r="E49" s="1303"/>
      <c r="F49" s="1303"/>
      <c r="G49" s="1304"/>
      <c r="H49" s="1305"/>
      <c r="I49" s="1085"/>
      <c r="J49" s="1284"/>
      <c r="K49" s="1285"/>
      <c r="L49" s="1246"/>
    </row>
    <row r="50" spans="1:12" x14ac:dyDescent="0.2">
      <c r="A50" s="1551" t="s">
        <v>502</v>
      </c>
      <c r="B50" s="1551"/>
      <c r="C50" s="1551"/>
      <c r="D50" s="1551"/>
      <c r="E50" s="1551"/>
      <c r="F50" s="1551"/>
      <c r="G50" s="1551"/>
      <c r="H50" s="1551"/>
      <c r="I50" s="1551"/>
      <c r="J50" s="1551"/>
      <c r="K50" s="1551"/>
      <c r="L50" s="1108">
        <f>ROUND(SUM(L42:L49),4)</f>
        <v>0.66149999999999998</v>
      </c>
    </row>
    <row r="51" spans="1:12" x14ac:dyDescent="0.2">
      <c r="A51" s="932"/>
      <c r="B51" s="932"/>
      <c r="C51" s="932"/>
      <c r="D51" s="932"/>
      <c r="E51" s="932"/>
      <c r="F51" s="932"/>
      <c r="G51" s="932"/>
      <c r="H51" s="932"/>
      <c r="I51" s="932"/>
      <c r="J51" s="910"/>
      <c r="K51" s="1117"/>
      <c r="L51" s="1118"/>
    </row>
    <row r="52" spans="1:12" ht="13.9" customHeight="1" x14ac:dyDescent="0.2">
      <c r="A52" s="1462" t="s">
        <v>503</v>
      </c>
      <c r="B52" s="1462"/>
      <c r="C52" s="1462"/>
      <c r="D52" s="1462"/>
      <c r="E52" s="1462"/>
      <c r="F52" s="1462"/>
      <c r="G52" s="1452" t="s">
        <v>504</v>
      </c>
      <c r="H52" s="1460" t="s">
        <v>505</v>
      </c>
      <c r="I52" s="1460"/>
      <c r="J52" s="1460"/>
      <c r="K52" s="1460"/>
      <c r="L52" s="1460" t="s">
        <v>506</v>
      </c>
    </row>
    <row r="53" spans="1:12" x14ac:dyDescent="0.2">
      <c r="A53" s="1462"/>
      <c r="B53" s="1462"/>
      <c r="C53" s="1462"/>
      <c r="D53" s="1462"/>
      <c r="E53" s="1462"/>
      <c r="F53" s="1462"/>
      <c r="G53" s="1452"/>
      <c r="H53" s="944" t="s">
        <v>112</v>
      </c>
      <c r="I53" s="1095" t="s">
        <v>380</v>
      </c>
      <c r="J53" s="1026" t="s">
        <v>383</v>
      </c>
      <c r="K53" s="1110" t="s">
        <v>385</v>
      </c>
      <c r="L53" s="1460"/>
    </row>
    <row r="54" spans="1:12" x14ac:dyDescent="0.2">
      <c r="A54" s="1462"/>
      <c r="B54" s="1462"/>
      <c r="C54" s="1462"/>
      <c r="D54" s="1462"/>
      <c r="E54" s="1462"/>
      <c r="F54" s="1462"/>
      <c r="G54" s="1452"/>
      <c r="H54" s="943" t="s">
        <v>507</v>
      </c>
      <c r="I54" s="1119"/>
      <c r="J54" s="1119"/>
      <c r="K54" s="1119"/>
      <c r="L54" s="1460"/>
    </row>
    <row r="55" spans="1:12" ht="13.9" customHeight="1" x14ac:dyDescent="0.2">
      <c r="A55" s="1488" t="str">
        <f>A42</f>
        <v>DNIT –</v>
      </c>
      <c r="B55" s="1489" t="str">
        <f>B42</f>
        <v>M0217</v>
      </c>
      <c r="C55" s="1490" t="s">
        <v>442</v>
      </c>
      <c r="D55" s="1502" t="str">
        <f>D42</f>
        <v>Enxofre</v>
      </c>
      <c r="E55" s="1502"/>
      <c r="F55" s="1503" t="s">
        <v>625</v>
      </c>
      <c r="G55" s="1549">
        <f>(H42/1000)</f>
        <v>3.0000000000000001E-6</v>
      </c>
      <c r="H55" s="1120" t="s">
        <v>508</v>
      </c>
      <c r="I55" s="1121">
        <v>5914404</v>
      </c>
      <c r="J55" s="1121">
        <v>5914419</v>
      </c>
      <c r="K55" s="1121">
        <v>5914434</v>
      </c>
      <c r="L55" s="1494">
        <f>G55*($I$54*I56+$J$54*J56+$K$54*K56)</f>
        <v>0</v>
      </c>
    </row>
    <row r="56" spans="1:12" x14ac:dyDescent="0.2">
      <c r="A56" s="1488"/>
      <c r="B56" s="1489"/>
      <c r="C56" s="1490"/>
      <c r="D56" s="1502"/>
      <c r="E56" s="1502"/>
      <c r="F56" s="1503"/>
      <c r="G56" s="1549"/>
      <c r="H56" s="1122" t="s">
        <v>509</v>
      </c>
      <c r="I56" s="1123">
        <v>1.1200000000000001</v>
      </c>
      <c r="J56" s="1123">
        <v>0.89</v>
      </c>
      <c r="K56" s="1123">
        <v>0.71</v>
      </c>
      <c r="L56" s="1494"/>
    </row>
    <row r="57" spans="1:12" ht="13.9" customHeight="1" x14ac:dyDescent="0.2">
      <c r="A57" s="1480" t="str">
        <f>A43</f>
        <v>DNIT –</v>
      </c>
      <c r="B57" s="1481" t="str">
        <f>B43</f>
        <v>M0218</v>
      </c>
      <c r="C57" s="1482" t="s">
        <v>442</v>
      </c>
      <c r="D57" s="1546" t="str">
        <f>D43</f>
        <v>Adubo fósforo (30%)</v>
      </c>
      <c r="E57" s="1546"/>
      <c r="F57" s="1547" t="s">
        <v>625</v>
      </c>
      <c r="G57" s="1548">
        <f>(H43/1000)</f>
        <v>5.0000000000000004E-6</v>
      </c>
      <c r="H57" s="1122" t="s">
        <v>508</v>
      </c>
      <c r="I57" s="1124">
        <v>5914404</v>
      </c>
      <c r="J57" s="1124">
        <v>5914419</v>
      </c>
      <c r="K57" s="1124">
        <v>5914434</v>
      </c>
      <c r="L57" s="1486">
        <f>G57*($I$54*I58+$J$54*J58+$K$54*K58)</f>
        <v>0</v>
      </c>
    </row>
    <row r="58" spans="1:12" x14ac:dyDescent="0.2">
      <c r="A58" s="1480"/>
      <c r="B58" s="1481"/>
      <c r="C58" s="1482"/>
      <c r="D58" s="1546"/>
      <c r="E58" s="1546"/>
      <c r="F58" s="1547"/>
      <c r="G58" s="1548"/>
      <c r="H58" s="1122" t="s">
        <v>509</v>
      </c>
      <c r="I58" s="1123">
        <v>1.1200000000000001</v>
      </c>
      <c r="J58" s="1123">
        <v>0.89</v>
      </c>
      <c r="K58" s="1123">
        <v>0.71</v>
      </c>
      <c r="L58" s="1486"/>
    </row>
    <row r="59" spans="1:12" ht="13.9" customHeight="1" x14ac:dyDescent="0.2">
      <c r="A59" s="1480" t="str">
        <f>A44</f>
        <v>DNIT –</v>
      </c>
      <c r="B59" s="1481" t="str">
        <f>B44</f>
        <v>M0219</v>
      </c>
      <c r="C59" s="1482" t="s">
        <v>442</v>
      </c>
      <c r="D59" s="1546" t="str">
        <f>D44</f>
        <v>Adubo potássio</v>
      </c>
      <c r="E59" s="1546"/>
      <c r="F59" s="1547" t="s">
        <v>625</v>
      </c>
      <c r="G59" s="1548">
        <f>(H44/1000)</f>
        <v>2.5000000000000001E-5</v>
      </c>
      <c r="H59" s="1122" t="s">
        <v>508</v>
      </c>
      <c r="I59" s="1124">
        <v>5914404</v>
      </c>
      <c r="J59" s="1124">
        <v>5914419</v>
      </c>
      <c r="K59" s="1124">
        <v>5914434</v>
      </c>
      <c r="L59" s="1486">
        <f>G59*($I$54*I60+$J$54*J60+$K$54*K60)</f>
        <v>0</v>
      </c>
    </row>
    <row r="60" spans="1:12" x14ac:dyDescent="0.2">
      <c r="A60" s="1480"/>
      <c r="B60" s="1481"/>
      <c r="C60" s="1482"/>
      <c r="D60" s="1546"/>
      <c r="E60" s="1546"/>
      <c r="F60" s="1547"/>
      <c r="G60" s="1548"/>
      <c r="H60" s="1122" t="s">
        <v>509</v>
      </c>
      <c r="I60" s="1123">
        <v>1.1200000000000001</v>
      </c>
      <c r="J60" s="1123">
        <v>0.89</v>
      </c>
      <c r="K60" s="1123">
        <v>0.71</v>
      </c>
      <c r="L60" s="1486"/>
    </row>
    <row r="61" spans="1:12" ht="13.9" customHeight="1" x14ac:dyDescent="0.2">
      <c r="A61" s="1480" t="str">
        <f>A45</f>
        <v>DNIT –</v>
      </c>
      <c r="B61" s="1481" t="str">
        <f>B45</f>
        <v>M0220</v>
      </c>
      <c r="C61" s="1482" t="s">
        <v>442</v>
      </c>
      <c r="D61" s="1546" t="str">
        <f>D45</f>
        <v>Adubo NPK</v>
      </c>
      <c r="E61" s="1546"/>
      <c r="F61" s="1547" t="s">
        <v>625</v>
      </c>
      <c r="G61" s="1548">
        <f>(H45/1000)</f>
        <v>2.0000000000000002E-5</v>
      </c>
      <c r="H61" s="1122" t="s">
        <v>508</v>
      </c>
      <c r="I61" s="1124">
        <v>5914404</v>
      </c>
      <c r="J61" s="1124">
        <v>5914419</v>
      </c>
      <c r="K61" s="1124">
        <v>5914434</v>
      </c>
      <c r="L61" s="1486">
        <f>G61*($I$54*I62+$J$54*J62+$K$54*K62)</f>
        <v>0</v>
      </c>
    </row>
    <row r="62" spans="1:12" x14ac:dyDescent="0.2">
      <c r="A62" s="1480"/>
      <c r="B62" s="1481"/>
      <c r="C62" s="1482"/>
      <c r="D62" s="1546"/>
      <c r="E62" s="1546"/>
      <c r="F62" s="1547"/>
      <c r="G62" s="1548"/>
      <c r="H62" s="1122" t="s">
        <v>509</v>
      </c>
      <c r="I62" s="1123">
        <v>1.1200000000000001</v>
      </c>
      <c r="J62" s="1123">
        <v>0.89</v>
      </c>
      <c r="K62" s="1123">
        <v>0.71</v>
      </c>
      <c r="L62" s="1486"/>
    </row>
    <row r="63" spans="1:12" ht="13.9" customHeight="1" x14ac:dyDescent="0.2">
      <c r="A63" s="1480" t="str">
        <f>A46</f>
        <v>DNIT –</v>
      </c>
      <c r="B63" s="1481" t="str">
        <f>B46</f>
        <v>M0223</v>
      </c>
      <c r="C63" s="1482" t="s">
        <v>442</v>
      </c>
      <c r="D63" s="1546" t="str">
        <f>D46</f>
        <v>Sementes para hidrossemeadura</v>
      </c>
      <c r="E63" s="1546"/>
      <c r="F63" s="1547" t="s">
        <v>626</v>
      </c>
      <c r="G63" s="1548">
        <f>(H46/1000)</f>
        <v>2.5000000000000001E-5</v>
      </c>
      <c r="H63" s="1122" t="s">
        <v>508</v>
      </c>
      <c r="I63" s="1124">
        <v>5914449</v>
      </c>
      <c r="J63" s="1124">
        <v>5914464</v>
      </c>
      <c r="K63" s="1124">
        <v>5914479</v>
      </c>
      <c r="L63" s="1486">
        <f>G63*($I$54*I64+$J$54*J64+$K$54*K64)</f>
        <v>0</v>
      </c>
    </row>
    <row r="64" spans="1:12" x14ac:dyDescent="0.2">
      <c r="A64" s="1480"/>
      <c r="B64" s="1481"/>
      <c r="C64" s="1482"/>
      <c r="D64" s="1546"/>
      <c r="E64" s="1546"/>
      <c r="F64" s="1547"/>
      <c r="G64" s="1548"/>
      <c r="H64" s="1122" t="s">
        <v>509</v>
      </c>
      <c r="I64" s="1123">
        <v>0.82</v>
      </c>
      <c r="J64" s="1123">
        <v>0.66</v>
      </c>
      <c r="K64" s="1123">
        <v>0.52</v>
      </c>
      <c r="L64" s="1486"/>
    </row>
    <row r="65" spans="1:12" ht="13.9" customHeight="1" x14ac:dyDescent="0.2">
      <c r="A65" s="1480" t="str">
        <f>A47</f>
        <v>DNIT –</v>
      </c>
      <c r="B65" s="1481" t="str">
        <f>B47</f>
        <v>M0225</v>
      </c>
      <c r="C65" s="1482" t="s">
        <v>442</v>
      </c>
      <c r="D65" s="1546" t="str">
        <f>D47</f>
        <v>Adubo orgânico</v>
      </c>
      <c r="E65" s="1546"/>
      <c r="F65" s="1547" t="s">
        <v>625</v>
      </c>
      <c r="G65" s="1548">
        <f>(H47/1000)</f>
        <v>2.0000000000000001E-4</v>
      </c>
      <c r="H65" s="1122" t="s">
        <v>508</v>
      </c>
      <c r="I65" s="1124">
        <v>5914404</v>
      </c>
      <c r="J65" s="1124">
        <v>5914419</v>
      </c>
      <c r="K65" s="1124">
        <v>5914434</v>
      </c>
      <c r="L65" s="1486">
        <f>G65*($I$54*I66+$J$54*J66+$K$54*K66)</f>
        <v>0</v>
      </c>
    </row>
    <row r="66" spans="1:12" x14ac:dyDescent="0.2">
      <c r="A66" s="1480"/>
      <c r="B66" s="1481"/>
      <c r="C66" s="1482"/>
      <c r="D66" s="1546"/>
      <c r="E66" s="1546"/>
      <c r="F66" s="1547"/>
      <c r="G66" s="1548"/>
      <c r="H66" s="1122" t="s">
        <v>509</v>
      </c>
      <c r="I66" s="1123">
        <v>1.1200000000000001</v>
      </c>
      <c r="J66" s="1123">
        <v>0.89</v>
      </c>
      <c r="K66" s="1123">
        <v>0.71</v>
      </c>
      <c r="L66" s="1486"/>
    </row>
    <row r="67" spans="1:12" ht="13.9" customHeight="1" x14ac:dyDescent="0.2">
      <c r="A67" s="1480" t="str">
        <f>A48</f>
        <v>DNIT –</v>
      </c>
      <c r="B67" s="1481" t="str">
        <f>B48</f>
        <v>M1755</v>
      </c>
      <c r="C67" s="1482" t="s">
        <v>442</v>
      </c>
      <c r="D67" s="1546" t="str">
        <f>D48</f>
        <v>Pó Calcário</v>
      </c>
      <c r="E67" s="1546"/>
      <c r="F67" s="1547" t="s">
        <v>627</v>
      </c>
      <c r="G67" s="1548">
        <f>(H48/1000)</f>
        <v>1.25E-4</v>
      </c>
      <c r="H67" s="1122" t="s">
        <v>508</v>
      </c>
      <c r="I67" s="1124">
        <v>5915322</v>
      </c>
      <c r="J67" s="1124">
        <v>5915323</v>
      </c>
      <c r="K67" s="1124">
        <v>5915324</v>
      </c>
      <c r="L67" s="1486">
        <f>G67*($I$54*I68+$J$54*J68+$K$54*K68)</f>
        <v>0</v>
      </c>
    </row>
    <row r="68" spans="1:12" x14ac:dyDescent="0.2">
      <c r="A68" s="1480"/>
      <c r="B68" s="1481"/>
      <c r="C68" s="1482"/>
      <c r="D68" s="1546"/>
      <c r="E68" s="1546"/>
      <c r="F68" s="1547"/>
      <c r="G68" s="1548"/>
      <c r="H68" s="1122" t="s">
        <v>509</v>
      </c>
      <c r="I68" s="1123">
        <v>1.71</v>
      </c>
      <c r="J68" s="1123">
        <v>1.37</v>
      </c>
      <c r="K68" s="1123">
        <v>1.0900000000000001</v>
      </c>
      <c r="L68" s="1486"/>
    </row>
    <row r="69" spans="1:12" x14ac:dyDescent="0.2">
      <c r="A69" s="1114"/>
      <c r="B69" s="979"/>
      <c r="C69" s="979"/>
      <c r="D69" s="1083"/>
      <c r="E69" s="1083"/>
      <c r="F69" s="1083"/>
      <c r="G69" s="1306"/>
      <c r="H69" s="1247"/>
      <c r="I69" s="1247"/>
      <c r="J69" s="1137"/>
      <c r="K69" s="1044"/>
      <c r="L69" s="1138">
        <f>G69*H69*K69</f>
        <v>0</v>
      </c>
    </row>
    <row r="70" spans="1:12" x14ac:dyDescent="0.2">
      <c r="A70" s="1454" t="s">
        <v>510</v>
      </c>
      <c r="B70" s="1454"/>
      <c r="C70" s="1454"/>
      <c r="D70" s="1454"/>
      <c r="E70" s="1454"/>
      <c r="F70" s="1454"/>
      <c r="G70" s="1454"/>
      <c r="H70" s="1454"/>
      <c r="I70" s="1454"/>
      <c r="J70" s="1454"/>
      <c r="K70" s="1454"/>
      <c r="L70" s="1025">
        <f>ROUND(SUM(L55:L69),4)</f>
        <v>0</v>
      </c>
    </row>
    <row r="71" spans="1:12" ht="9" customHeight="1" x14ac:dyDescent="0.2">
      <c r="A71" s="1049"/>
      <c r="B71" s="1049"/>
      <c r="C71" s="1049"/>
      <c r="D71" s="1049"/>
      <c r="E71" s="1049"/>
      <c r="F71" s="1049"/>
      <c r="G71" s="932"/>
      <c r="H71" s="1050"/>
      <c r="I71" s="1050"/>
      <c r="J71" s="1051"/>
      <c r="K71" s="1052"/>
      <c r="L71" s="1053"/>
    </row>
    <row r="72" spans="1:12" x14ac:dyDescent="0.2">
      <c r="A72" s="1454" t="s">
        <v>460</v>
      </c>
      <c r="B72" s="1454"/>
      <c r="C72" s="1454"/>
      <c r="D72" s="1454"/>
      <c r="E72" s="1454"/>
      <c r="F72" s="1454"/>
      <c r="G72" s="1454"/>
      <c r="H72" s="1454"/>
      <c r="I72" s="1454"/>
      <c r="J72" s="1454"/>
      <c r="K72" s="1454"/>
      <c r="L72" s="1025">
        <f>ROUND(L38+L50+L70,4)</f>
        <v>1.2137</v>
      </c>
    </row>
    <row r="73" spans="1:12" x14ac:dyDescent="0.2">
      <c r="A73" s="1455" t="s">
        <v>461</v>
      </c>
      <c r="B73" s="1455"/>
      <c r="C73" s="1455"/>
      <c r="D73" s="1455"/>
      <c r="E73" s="1455"/>
      <c r="F73" s="1455"/>
      <c r="G73" s="1455"/>
      <c r="H73" s="1455"/>
      <c r="I73" s="1455"/>
      <c r="J73" s="1455"/>
      <c r="K73" s="1055">
        <v>0.25569999999999998</v>
      </c>
      <c r="L73" s="1056">
        <f>ROUND(L72*K73,4)</f>
        <v>0.31030000000000002</v>
      </c>
    </row>
    <row r="74" spans="1:12" x14ac:dyDescent="0.2">
      <c r="A74" s="1456" t="s">
        <v>462</v>
      </c>
      <c r="B74" s="1456"/>
      <c r="C74" s="1456"/>
      <c r="D74" s="1456"/>
      <c r="E74" s="1456"/>
      <c r="F74" s="1456"/>
      <c r="G74" s="1456"/>
      <c r="H74" s="1456"/>
      <c r="I74" s="1456"/>
      <c r="J74" s="1456"/>
      <c r="K74" s="1456"/>
      <c r="L74" s="1126">
        <f>ROUND(L72+L73,2)</f>
        <v>1.52</v>
      </c>
    </row>
    <row r="75" spans="1:12" x14ac:dyDescent="0.2">
      <c r="A75" s="1058"/>
      <c r="B75" s="1058"/>
      <c r="C75" s="1058"/>
      <c r="D75" s="1058"/>
      <c r="E75" s="1058"/>
      <c r="F75" s="1058"/>
      <c r="G75" s="1058"/>
      <c r="H75" s="1058"/>
      <c r="I75" s="1058"/>
      <c r="J75" s="1058"/>
      <c r="K75" s="1058"/>
      <c r="L75" s="1058"/>
    </row>
    <row r="76" spans="1:12" ht="23.25" customHeight="1" x14ac:dyDescent="0.2">
      <c r="A76" s="1059" t="s">
        <v>463</v>
      </c>
      <c r="B76" s="1060"/>
      <c r="C76" s="1518" t="s">
        <v>628</v>
      </c>
      <c r="D76" s="1518"/>
      <c r="E76" s="1518"/>
      <c r="F76" s="1518"/>
      <c r="G76" s="1518"/>
      <c r="H76" s="1518"/>
      <c r="I76" s="1518"/>
      <c r="J76" s="1518"/>
      <c r="K76" s="1518"/>
      <c r="L76" s="1518"/>
    </row>
    <row r="77" spans="1:12" ht="13.9" customHeight="1" x14ac:dyDescent="0.2">
      <c r="A77" s="1210"/>
      <c r="B77" s="1184"/>
      <c r="C77" s="1506" t="s">
        <v>598</v>
      </c>
      <c r="D77" s="1506"/>
      <c r="E77" s="1506"/>
      <c r="F77" s="1506"/>
      <c r="G77" s="1506"/>
      <c r="H77" s="1506"/>
      <c r="I77" s="1506"/>
      <c r="J77" s="1506"/>
      <c r="K77" s="1506"/>
      <c r="L77" s="1506"/>
    </row>
    <row r="78" spans="1:12" x14ac:dyDescent="0.2">
      <c r="A78" s="1071"/>
      <c r="B78" s="1129"/>
      <c r="C78" s="1073"/>
      <c r="D78" s="1073"/>
      <c r="E78" s="1073"/>
      <c r="F78" s="1073"/>
      <c r="G78" s="1073"/>
      <c r="H78" s="1073"/>
      <c r="I78" s="1073"/>
      <c r="J78" s="1073"/>
      <c r="K78" s="1073"/>
      <c r="L78" s="1074"/>
    </row>
  </sheetData>
  <mergeCells count="103">
    <mergeCell ref="A1:L1"/>
    <mergeCell ref="A2:L2"/>
    <mergeCell ref="A3:L3"/>
    <mergeCell ref="A4:L4"/>
    <mergeCell ref="A5:K5"/>
    <mergeCell ref="A6:K6"/>
    <mergeCell ref="A7:K7"/>
    <mergeCell ref="L7:L8"/>
    <mergeCell ref="A10:L10"/>
    <mergeCell ref="A12:D12"/>
    <mergeCell ref="E12:L12"/>
    <mergeCell ref="A15:L16"/>
    <mergeCell ref="E18:J18"/>
    <mergeCell ref="A20:F21"/>
    <mergeCell ref="G20:G21"/>
    <mergeCell ref="H20:I20"/>
    <mergeCell ref="J20:K20"/>
    <mergeCell ref="D22:F22"/>
    <mergeCell ref="A25:K25"/>
    <mergeCell ref="A27:I28"/>
    <mergeCell ref="J27:J28"/>
    <mergeCell ref="K27:K28"/>
    <mergeCell ref="D29:I29"/>
    <mergeCell ref="A31:K31"/>
    <mergeCell ref="A38:H38"/>
    <mergeCell ref="I38:K38"/>
    <mergeCell ref="A40:G41"/>
    <mergeCell ref="H40:I41"/>
    <mergeCell ref="J40:J41"/>
    <mergeCell ref="D42:G42"/>
    <mergeCell ref="H42:I42"/>
    <mergeCell ref="D43:G43"/>
    <mergeCell ref="H43:I43"/>
    <mergeCell ref="D44:G44"/>
    <mergeCell ref="H44:I44"/>
    <mergeCell ref="D45:G45"/>
    <mergeCell ref="H45:I45"/>
    <mergeCell ref="D46:G46"/>
    <mergeCell ref="H46:I46"/>
    <mergeCell ref="D47:G47"/>
    <mergeCell ref="H47:I47"/>
    <mergeCell ref="D48:G48"/>
    <mergeCell ref="H48:I48"/>
    <mergeCell ref="A50:K50"/>
    <mergeCell ref="A52:F54"/>
    <mergeCell ref="G52:G54"/>
    <mergeCell ref="H52:K52"/>
    <mergeCell ref="L52:L54"/>
    <mergeCell ref="A55:A56"/>
    <mergeCell ref="B55:B56"/>
    <mergeCell ref="C55:C56"/>
    <mergeCell ref="D55:E56"/>
    <mergeCell ref="F55:F56"/>
    <mergeCell ref="G55:G56"/>
    <mergeCell ref="L55:L56"/>
    <mergeCell ref="A57:A58"/>
    <mergeCell ref="B57:B58"/>
    <mergeCell ref="C57:C58"/>
    <mergeCell ref="D57:E58"/>
    <mergeCell ref="F57:F58"/>
    <mergeCell ref="G57:G58"/>
    <mergeCell ref="L57:L58"/>
    <mergeCell ref="A59:A60"/>
    <mergeCell ref="B59:B60"/>
    <mergeCell ref="C59:C60"/>
    <mergeCell ref="D59:E60"/>
    <mergeCell ref="F59:F60"/>
    <mergeCell ref="G59:G60"/>
    <mergeCell ref="L59:L60"/>
    <mergeCell ref="A61:A62"/>
    <mergeCell ref="B61:B62"/>
    <mergeCell ref="C61:C62"/>
    <mergeCell ref="D61:E62"/>
    <mergeCell ref="F61:F62"/>
    <mergeCell ref="G61:G62"/>
    <mergeCell ref="L61:L62"/>
    <mergeCell ref="A63:A64"/>
    <mergeCell ref="B63:B64"/>
    <mergeCell ref="C63:C64"/>
    <mergeCell ref="D63:E64"/>
    <mergeCell ref="F63:F64"/>
    <mergeCell ref="G63:G64"/>
    <mergeCell ref="L63:L64"/>
    <mergeCell ref="A65:A66"/>
    <mergeCell ref="B65:B66"/>
    <mergeCell ref="C65:C66"/>
    <mergeCell ref="D65:E66"/>
    <mergeCell ref="F65:F66"/>
    <mergeCell ref="G65:G66"/>
    <mergeCell ref="L65:L66"/>
    <mergeCell ref="A73:J73"/>
    <mergeCell ref="A74:K74"/>
    <mergeCell ref="C76:L76"/>
    <mergeCell ref="C77:L77"/>
    <mergeCell ref="A67:A68"/>
    <mergeCell ref="B67:B68"/>
    <mergeCell ref="C67:C68"/>
    <mergeCell ref="D67:E68"/>
    <mergeCell ref="F67:F68"/>
    <mergeCell ref="G67:G68"/>
    <mergeCell ref="L67:L68"/>
    <mergeCell ref="A70:K70"/>
    <mergeCell ref="A72:K72"/>
  </mergeCells>
  <dataValidations count="1">
    <dataValidation allowBlank="1" showInputMessage="1" showErrorMessage="1" prompt="Clique duas vezes sobre o número do item para ser direcionado à Planilha Orçamentária." sqref="D18" xr:uid="{00000000-0002-0000-2100-000000000000}">
      <formula1>0</formula1>
      <formula2>0</formula2>
    </dataValidation>
  </dataValidations>
  <printOptions horizontalCentered="1" verticalCentered="1"/>
  <pageMargins left="0.51180555555555496" right="0.51180555555555496" top="0.27569444444444402" bottom="0.27569444444444402" header="0.51180555555555496" footer="0.51180555555555496"/>
  <pageSetup paperSize="9" scale="72"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7"/>
  <sheetViews>
    <sheetView zoomScaleNormal="100" zoomScalePageLayoutView="60" workbookViewId="0"/>
  </sheetViews>
  <sheetFormatPr defaultRowHeight="15" x14ac:dyDescent="0.2"/>
  <cols>
    <col min="1" max="1" width="7.12890625" style="552" customWidth="1"/>
    <col min="2" max="2" width="41.296875" style="552" customWidth="1"/>
    <col min="3" max="3" width="15.19921875" style="552" customWidth="1"/>
    <col min="4" max="4" width="13.98828125" style="552" customWidth="1"/>
    <col min="5" max="5" width="15.19921875" style="552" customWidth="1"/>
    <col min="6" max="6" width="14.9296875" style="552" customWidth="1"/>
    <col min="7" max="7" width="14.66015625" style="552" customWidth="1"/>
    <col min="8" max="8" width="13.5859375" style="552" customWidth="1"/>
    <col min="9" max="9" width="13.85546875" style="552" customWidth="1"/>
    <col min="10" max="10" width="13.71875" style="552" customWidth="1"/>
    <col min="11" max="11" width="14.66015625" style="552" customWidth="1"/>
    <col min="12" max="12" width="13.44921875" style="552" customWidth="1"/>
    <col min="13" max="1025" width="8.7421875" customWidth="1"/>
  </cols>
  <sheetData>
    <row r="1" spans="1:12" ht="34.35" customHeight="1" x14ac:dyDescent="0.2">
      <c r="A1" s="1388"/>
      <c r="B1" s="1388"/>
      <c r="C1" s="1389" t="str">
        <f>'[1]Informações de entrada'!C5</f>
        <v>Estado do Pará</v>
      </c>
      <c r="D1" s="1389"/>
      <c r="E1" s="1389"/>
      <c r="F1" s="1389"/>
      <c r="G1" s="1389"/>
      <c r="H1" s="1389"/>
      <c r="I1" s="1389"/>
      <c r="J1" s="1389"/>
      <c r="K1" s="1389"/>
      <c r="L1" s="1389"/>
    </row>
    <row r="2" spans="1:12" ht="26.25" customHeight="1" x14ac:dyDescent="0.2">
      <c r="A2" s="1388"/>
      <c r="B2" s="1388"/>
      <c r="C2" s="1390" t="str">
        <f>'[1]Informações de entrada'!C7</f>
        <v>Prefeitura Municipal de Santarém Novo</v>
      </c>
      <c r="D2" s="1390"/>
      <c r="E2" s="1390"/>
      <c r="F2" s="1390"/>
      <c r="G2" s="1390"/>
      <c r="H2" s="1390"/>
      <c r="I2" s="1390"/>
      <c r="J2" s="1390"/>
      <c r="K2" s="1390"/>
      <c r="L2" s="1390"/>
    </row>
    <row r="3" spans="1:12" ht="13.9" customHeight="1" x14ac:dyDescent="0.2">
      <c r="A3" s="1391" t="s">
        <v>233</v>
      </c>
      <c r="B3" s="1391"/>
      <c r="C3" s="553" t="s">
        <v>234</v>
      </c>
      <c r="D3" s="1392" t="str">
        <f>'[1]Informações de entrada'!C11</f>
        <v>Construção / Recuperação e complementação de estradas vicinais</v>
      </c>
      <c r="E3" s="1392"/>
      <c r="F3" s="1392"/>
      <c r="G3" s="1392"/>
      <c r="H3" s="1392"/>
      <c r="I3" s="1392"/>
      <c r="J3" s="1392"/>
      <c r="K3" s="1392"/>
      <c r="L3" s="1392"/>
    </row>
    <row r="4" spans="1:12" x14ac:dyDescent="0.2">
      <c r="A4" s="1391"/>
      <c r="B4" s="1391"/>
      <c r="C4" s="553" t="s">
        <v>3</v>
      </c>
      <c r="D4" s="1392" t="str">
        <f>'[1]Informações de entrada'!C21</f>
        <v>RESEX CHOCOARÉ-MATOGROSSO</v>
      </c>
      <c r="E4" s="1392"/>
      <c r="F4" s="1392"/>
      <c r="G4" s="1392"/>
      <c r="H4" s="1392"/>
      <c r="I4" s="1392"/>
      <c r="J4" s="554" t="s">
        <v>89</v>
      </c>
      <c r="K4" s="555">
        <f>ROUND('[1]Nota de serviço'!P28,3)</f>
        <v>12.15</v>
      </c>
      <c r="L4" s="556" t="s">
        <v>235</v>
      </c>
    </row>
    <row r="5" spans="1:12" x14ac:dyDescent="0.2">
      <c r="A5" s="1391"/>
      <c r="B5" s="1391"/>
      <c r="C5" s="553" t="s">
        <v>4</v>
      </c>
      <c r="D5" s="1393" t="str">
        <f>'[1]Informações de entrada'!C7</f>
        <v>Prefeitura Municipal de Santarém Novo</v>
      </c>
      <c r="E5" s="1393"/>
      <c r="F5" s="1393"/>
      <c r="G5" s="1393"/>
      <c r="H5" s="1393"/>
      <c r="I5" s="1393"/>
      <c r="J5" s="557"/>
      <c r="K5" s="557"/>
      <c r="L5" s="558"/>
    </row>
    <row r="6" spans="1:12" x14ac:dyDescent="0.2">
      <c r="A6" s="1391"/>
      <c r="B6" s="1391"/>
      <c r="C6" s="553" t="s">
        <v>236</v>
      </c>
      <c r="D6" s="559"/>
      <c r="E6" s="560">
        <v>120</v>
      </c>
      <c r="F6" s="1394" t="s">
        <v>237</v>
      </c>
      <c r="G6" s="1394"/>
      <c r="H6" s="1394"/>
      <c r="I6" s="561"/>
      <c r="J6" s="554" t="s">
        <v>238</v>
      </c>
      <c r="K6" s="1395"/>
      <c r="L6" s="1395"/>
    </row>
    <row r="7" spans="1:12" ht="9.9499999999999993" customHeight="1" x14ac:dyDescent="0.2">
      <c r="A7" s="562"/>
      <c r="B7" s="562"/>
      <c r="C7" s="562"/>
      <c r="D7" s="562"/>
      <c r="E7" s="563"/>
      <c r="F7" s="563"/>
      <c r="G7" s="563"/>
      <c r="H7" s="563"/>
      <c r="I7" s="563"/>
      <c r="J7" s="563"/>
      <c r="K7" s="564"/>
      <c r="L7" s="564"/>
    </row>
    <row r="8" spans="1:12" ht="13.9" customHeight="1" x14ac:dyDescent="0.2">
      <c r="A8" s="1380" t="s">
        <v>239</v>
      </c>
      <c r="B8" s="1380" t="s">
        <v>240</v>
      </c>
      <c r="C8" s="1383" t="s">
        <v>241</v>
      </c>
      <c r="D8" s="1380" t="s">
        <v>242</v>
      </c>
      <c r="E8" s="1380" t="s">
        <v>243</v>
      </c>
      <c r="F8" s="1380"/>
      <c r="G8" s="1380"/>
      <c r="H8" s="1380"/>
      <c r="I8" s="1380"/>
      <c r="J8" s="1380"/>
      <c r="K8" s="1380"/>
      <c r="L8" s="1380"/>
    </row>
    <row r="9" spans="1:12" x14ac:dyDescent="0.2">
      <c r="A9" s="1380"/>
      <c r="B9" s="1380"/>
      <c r="C9" s="1383"/>
      <c r="D9" s="1380"/>
      <c r="E9" s="565">
        <v>30</v>
      </c>
      <c r="F9" s="565">
        <v>60</v>
      </c>
      <c r="G9" s="565">
        <v>90</v>
      </c>
      <c r="H9" s="565">
        <v>120</v>
      </c>
      <c r="I9" s="565">
        <v>150</v>
      </c>
      <c r="J9" s="565">
        <v>180</v>
      </c>
      <c r="K9" s="565">
        <v>210</v>
      </c>
      <c r="L9" s="565">
        <v>240</v>
      </c>
    </row>
    <row r="10" spans="1:12" ht="9" customHeight="1" x14ac:dyDescent="0.2">
      <c r="A10" s="562"/>
      <c r="B10" s="562"/>
      <c r="C10" s="562"/>
      <c r="D10" s="562"/>
      <c r="E10" s="563"/>
      <c r="F10" s="563"/>
      <c r="G10" s="563"/>
      <c r="H10" s="563"/>
      <c r="I10" s="563"/>
      <c r="J10" s="563"/>
      <c r="K10" s="564"/>
      <c r="L10" s="564"/>
    </row>
    <row r="11" spans="1:12" x14ac:dyDescent="0.2">
      <c r="A11" s="1383" t="str">
        <f>'[1]Planilha orçamentária'!A16</f>
        <v>I</v>
      </c>
      <c r="B11" s="1384" t="str">
        <f>'[1]Planilha orçamentária'!B16</f>
        <v>- SERVIÇOS PRELIMINARES, MOBILIZAÇÃO E INSTALAÇÃO DE CANTEIRO</v>
      </c>
      <c r="C11" s="1385">
        <f>'PLANILHA ORÇAMENTÁRIA'!N15</f>
        <v>16994.5</v>
      </c>
      <c r="D11" s="1386">
        <f>ROUND(C11/C$38,6)</f>
        <v>1.6868000000000001E-2</v>
      </c>
      <c r="E11" s="566">
        <v>0.5</v>
      </c>
      <c r="F11" s="566"/>
      <c r="G11" s="566"/>
      <c r="H11" s="566">
        <v>0.5</v>
      </c>
      <c r="I11" s="566"/>
      <c r="J11" s="566"/>
      <c r="K11" s="566"/>
      <c r="L11" s="566"/>
    </row>
    <row r="12" spans="1:12" x14ac:dyDescent="0.2">
      <c r="A12" s="1383"/>
      <c r="B12" s="1384"/>
      <c r="C12" s="1385"/>
      <c r="D12" s="1386"/>
      <c r="E12" s="567">
        <f t="shared" ref="E12:L12" si="0">IF(E$9&lt;=$E$6,$C11*E11,0)</f>
        <v>8497.25</v>
      </c>
      <c r="F12" s="567">
        <f t="shared" si="0"/>
        <v>0</v>
      </c>
      <c r="G12" s="567">
        <f t="shared" si="0"/>
        <v>0</v>
      </c>
      <c r="H12" s="567">
        <f t="shared" si="0"/>
        <v>8497.25</v>
      </c>
      <c r="I12" s="567">
        <f t="shared" si="0"/>
        <v>0</v>
      </c>
      <c r="J12" s="567">
        <f t="shared" si="0"/>
        <v>0</v>
      </c>
      <c r="K12" s="567">
        <f t="shared" si="0"/>
        <v>0</v>
      </c>
      <c r="L12" s="567">
        <f t="shared" si="0"/>
        <v>0</v>
      </c>
    </row>
    <row r="13" spans="1:12" ht="9" customHeight="1" x14ac:dyDescent="0.2">
      <c r="A13" s="562"/>
      <c r="B13" s="562"/>
      <c r="C13" s="568"/>
      <c r="D13" s="562"/>
      <c r="E13" s="563"/>
      <c r="F13" s="563"/>
      <c r="G13" s="563"/>
      <c r="H13" s="563"/>
      <c r="I13" s="563"/>
      <c r="J13" s="563"/>
      <c r="K13" s="564"/>
      <c r="L13" s="564"/>
    </row>
    <row r="14" spans="1:12" x14ac:dyDescent="0.2">
      <c r="A14" s="1383" t="str">
        <f>'[1]Planilha orçamentária'!A23</f>
        <v>II</v>
      </c>
      <c r="B14" s="1384" t="str">
        <f>'[1]Planilha orçamentária'!B23</f>
        <v>- ELABORAÇÃO DE PROJETOS, ESTUDOS TÉCNICOS E TOPOGRAFIA</v>
      </c>
      <c r="C14" s="1385">
        <f>'PLANILHA ORÇAMENTÁRIA'!N22</f>
        <v>60548.79</v>
      </c>
      <c r="D14" s="1386">
        <f>ROUND(C14/C$38,6)</f>
        <v>6.0099E-2</v>
      </c>
      <c r="E14" s="566">
        <v>1</v>
      </c>
      <c r="F14" s="566"/>
      <c r="G14" s="566"/>
      <c r="H14" s="566"/>
      <c r="I14" s="566"/>
      <c r="J14" s="566"/>
      <c r="K14" s="566"/>
      <c r="L14" s="566"/>
    </row>
    <row r="15" spans="1:12" x14ac:dyDescent="0.2">
      <c r="A15" s="1383"/>
      <c r="B15" s="1384"/>
      <c r="C15" s="1385"/>
      <c r="D15" s="1386"/>
      <c r="E15" s="567">
        <f t="shared" ref="E15:L15" si="1">IF(E$9&lt;=$E$6,$C14*E14,0)</f>
        <v>60548.79</v>
      </c>
      <c r="F15" s="567">
        <f t="shared" si="1"/>
        <v>0</v>
      </c>
      <c r="G15" s="567">
        <f t="shared" si="1"/>
        <v>0</v>
      </c>
      <c r="H15" s="567">
        <f t="shared" si="1"/>
        <v>0</v>
      </c>
      <c r="I15" s="567">
        <f t="shared" si="1"/>
        <v>0</v>
      </c>
      <c r="J15" s="567">
        <f t="shared" si="1"/>
        <v>0</v>
      </c>
      <c r="K15" s="567">
        <f t="shared" si="1"/>
        <v>0</v>
      </c>
      <c r="L15" s="567">
        <f t="shared" si="1"/>
        <v>0</v>
      </c>
    </row>
    <row r="16" spans="1:12" ht="9" customHeight="1" x14ac:dyDescent="0.2">
      <c r="A16" s="562"/>
      <c r="B16" s="562"/>
      <c r="C16" s="568"/>
      <c r="D16" s="562"/>
      <c r="E16" s="563"/>
      <c r="F16" s="563"/>
      <c r="G16" s="563"/>
      <c r="H16" s="563"/>
      <c r="I16" s="563"/>
      <c r="J16" s="563"/>
      <c r="K16" s="564"/>
      <c r="L16" s="564"/>
    </row>
    <row r="17" spans="1:12" x14ac:dyDescent="0.2">
      <c r="A17" s="1383" t="str">
        <f>'[1]Planilha orçamentária'!A39</f>
        <v>III</v>
      </c>
      <c r="B17" s="1384" t="str">
        <f>'[1]Planilha orçamentária'!B39</f>
        <v>- ADMINISTRAÇÃO LOCAL E SEGURANÇA</v>
      </c>
      <c r="C17" s="1385">
        <f>'PLANILHA ORÇAMENTÁRIA'!N38</f>
        <v>87152.12</v>
      </c>
      <c r="D17" s="1386">
        <f>ROUND(C17/C$38,6)</f>
        <v>8.6503999999999998E-2</v>
      </c>
      <c r="E17" s="566">
        <v>0.2</v>
      </c>
      <c r="F17" s="566">
        <v>0.3</v>
      </c>
      <c r="G17" s="566">
        <v>0.3</v>
      </c>
      <c r="H17" s="566">
        <v>0.2</v>
      </c>
      <c r="I17" s="566"/>
      <c r="J17" s="566"/>
      <c r="K17" s="566"/>
      <c r="L17" s="566"/>
    </row>
    <row r="18" spans="1:12" x14ac:dyDescent="0.2">
      <c r="A18" s="1383"/>
      <c r="B18" s="1384"/>
      <c r="C18" s="1385"/>
      <c r="D18" s="1386"/>
      <c r="E18" s="567">
        <f t="shared" ref="E18:L18" si="2">IF(E$9&lt;=$E$6,$C17*E17,0)</f>
        <v>17430.423999999999</v>
      </c>
      <c r="F18" s="567">
        <f t="shared" si="2"/>
        <v>26145.635999999999</v>
      </c>
      <c r="G18" s="567">
        <f t="shared" si="2"/>
        <v>26145.635999999999</v>
      </c>
      <c r="H18" s="567">
        <f t="shared" si="2"/>
        <v>17430.423999999999</v>
      </c>
      <c r="I18" s="567">
        <f t="shared" si="2"/>
        <v>0</v>
      </c>
      <c r="J18" s="567">
        <f t="shared" si="2"/>
        <v>0</v>
      </c>
      <c r="K18" s="567">
        <f t="shared" si="2"/>
        <v>0</v>
      </c>
      <c r="L18" s="567">
        <f t="shared" si="2"/>
        <v>0</v>
      </c>
    </row>
    <row r="19" spans="1:12" ht="9" customHeight="1" x14ac:dyDescent="0.2">
      <c r="A19" s="562"/>
      <c r="B19" s="562"/>
      <c r="C19" s="568"/>
      <c r="D19" s="562"/>
      <c r="E19" s="563"/>
      <c r="F19" s="563"/>
      <c r="G19" s="563"/>
      <c r="H19" s="563"/>
      <c r="I19" s="563"/>
      <c r="J19" s="563"/>
      <c r="K19" s="564"/>
      <c r="L19" s="564"/>
    </row>
    <row r="20" spans="1:12" x14ac:dyDescent="0.2">
      <c r="A20" s="1383" t="str">
        <f>'[1]Planilha orçamentária'!A43</f>
        <v>IV</v>
      </c>
      <c r="B20" s="1384" t="str">
        <f>'[1]Planilha orçamentária'!B43</f>
        <v>- DESMATAMENTO E LIMPEZA</v>
      </c>
      <c r="C20" s="1385">
        <f>'PLANILHA ORÇAMENTÁRIA'!N42</f>
        <v>32076</v>
      </c>
      <c r="D20" s="1386">
        <f>ROUND(C20/C$38,6)</f>
        <v>3.1837999999999998E-2</v>
      </c>
      <c r="E20" s="566">
        <v>1</v>
      </c>
      <c r="F20" s="566"/>
      <c r="G20" s="566"/>
      <c r="H20" s="566"/>
      <c r="I20" s="566"/>
      <c r="J20" s="566"/>
      <c r="K20" s="566"/>
      <c r="L20" s="566"/>
    </row>
    <row r="21" spans="1:12" x14ac:dyDescent="0.2">
      <c r="A21" s="1383"/>
      <c r="B21" s="1384"/>
      <c r="C21" s="1385"/>
      <c r="D21" s="1386"/>
      <c r="E21" s="567">
        <f t="shared" ref="E21:L21" si="3">IF(E$9&lt;=$E$6,$C20*E20,0)</f>
        <v>32076</v>
      </c>
      <c r="F21" s="567">
        <f t="shared" si="3"/>
        <v>0</v>
      </c>
      <c r="G21" s="567">
        <f t="shared" si="3"/>
        <v>0</v>
      </c>
      <c r="H21" s="567">
        <f t="shared" si="3"/>
        <v>0</v>
      </c>
      <c r="I21" s="567">
        <f t="shared" si="3"/>
        <v>0</v>
      </c>
      <c r="J21" s="567">
        <f t="shared" si="3"/>
        <v>0</v>
      </c>
      <c r="K21" s="567">
        <f t="shared" si="3"/>
        <v>0</v>
      </c>
      <c r="L21" s="567">
        <f t="shared" si="3"/>
        <v>0</v>
      </c>
    </row>
    <row r="22" spans="1:12" ht="9" customHeight="1" x14ac:dyDescent="0.2">
      <c r="A22" s="562"/>
      <c r="B22" s="562"/>
      <c r="C22" s="568"/>
      <c r="D22" s="562"/>
      <c r="E22" s="563"/>
      <c r="F22" s="563"/>
      <c r="G22" s="563"/>
      <c r="H22" s="563"/>
      <c r="I22" s="563"/>
      <c r="J22" s="563"/>
      <c r="K22" s="564"/>
      <c r="L22" s="564"/>
    </row>
    <row r="23" spans="1:12" x14ac:dyDescent="0.2">
      <c r="A23" s="1383" t="str">
        <f>'[1]Planilha orçamentária'!A53</f>
        <v>V</v>
      </c>
      <c r="B23" s="1384" t="str">
        <f>'[1]Planilha orçamentária'!B53</f>
        <v>- TERRAPLENAGEM</v>
      </c>
      <c r="C23" s="1385">
        <f>'PLANILHA ORÇAMENTÁRIA'!N52</f>
        <v>406342.11679999996</v>
      </c>
      <c r="D23" s="1386">
        <f>ROUND(C23/C$38,6)</f>
        <v>0.40332099999999999</v>
      </c>
      <c r="E23" s="566">
        <v>0.4</v>
      </c>
      <c r="F23" s="566">
        <v>0.3</v>
      </c>
      <c r="G23" s="566">
        <v>0.3</v>
      </c>
      <c r="H23" s="566"/>
      <c r="I23" s="566"/>
      <c r="J23" s="566"/>
      <c r="K23" s="566"/>
      <c r="L23" s="566"/>
    </row>
    <row r="24" spans="1:12" x14ac:dyDescent="0.2">
      <c r="A24" s="1383"/>
      <c r="B24" s="1384"/>
      <c r="C24" s="1385"/>
      <c r="D24" s="1386"/>
      <c r="E24" s="567">
        <f t="shared" ref="E24:L24" si="4">IF(E$9&lt;=$E$6,$C23*E23,0)</f>
        <v>162536.84672</v>
      </c>
      <c r="F24" s="567">
        <f t="shared" si="4"/>
        <v>121902.63503999998</v>
      </c>
      <c r="G24" s="567">
        <f t="shared" si="4"/>
        <v>121902.63503999998</v>
      </c>
      <c r="H24" s="567">
        <f t="shared" si="4"/>
        <v>0</v>
      </c>
      <c r="I24" s="567">
        <f t="shared" si="4"/>
        <v>0</v>
      </c>
      <c r="J24" s="567">
        <f t="shared" si="4"/>
        <v>0</v>
      </c>
      <c r="K24" s="567">
        <f t="shared" si="4"/>
        <v>0</v>
      </c>
      <c r="L24" s="567">
        <f t="shared" si="4"/>
        <v>0</v>
      </c>
    </row>
    <row r="25" spans="1:12" ht="9" customHeight="1" x14ac:dyDescent="0.2">
      <c r="A25" s="562"/>
      <c r="B25" s="562"/>
      <c r="C25" s="568"/>
      <c r="D25" s="562"/>
      <c r="E25" s="563"/>
      <c r="F25" s="563"/>
      <c r="G25" s="563"/>
      <c r="H25" s="563"/>
      <c r="I25" s="563"/>
      <c r="J25" s="563"/>
      <c r="K25" s="564"/>
      <c r="L25" s="564"/>
    </row>
    <row r="26" spans="1:12" x14ac:dyDescent="0.2">
      <c r="A26" s="1383" t="str">
        <f>'[1]Planilha orçamentária'!A82</f>
        <v>VI</v>
      </c>
      <c r="B26" s="1384" t="str">
        <f>'[1]Planilha orçamentária'!B82</f>
        <v>- OBRAS DE ARTES CORRENTES</v>
      </c>
      <c r="C26" s="1385">
        <f>'PLANILHA ORÇAMENTÁRIA'!N81</f>
        <v>144501.32</v>
      </c>
      <c r="D26" s="1386">
        <f>ROUND(C26/C$38,6)</f>
        <v>0.143427</v>
      </c>
      <c r="E26" s="566"/>
      <c r="F26" s="566">
        <v>0.5</v>
      </c>
      <c r="G26" s="566">
        <v>0.5</v>
      </c>
      <c r="H26" s="566"/>
      <c r="I26" s="566"/>
      <c r="J26" s="566"/>
      <c r="K26" s="566"/>
      <c r="L26" s="566"/>
    </row>
    <row r="27" spans="1:12" x14ac:dyDescent="0.2">
      <c r="A27" s="1383"/>
      <c r="B27" s="1384"/>
      <c r="C27" s="1385"/>
      <c r="D27" s="1386"/>
      <c r="E27" s="567">
        <f t="shared" ref="E27:L27" si="5">IF(E$9&lt;=$E$6,$C26*E26,0)</f>
        <v>0</v>
      </c>
      <c r="F27" s="567">
        <f t="shared" si="5"/>
        <v>72250.66</v>
      </c>
      <c r="G27" s="567">
        <f t="shared" si="5"/>
        <v>72250.66</v>
      </c>
      <c r="H27" s="567">
        <f t="shared" si="5"/>
        <v>0</v>
      </c>
      <c r="I27" s="567">
        <f t="shared" si="5"/>
        <v>0</v>
      </c>
      <c r="J27" s="567">
        <f t="shared" si="5"/>
        <v>0</v>
      </c>
      <c r="K27" s="567">
        <f t="shared" si="5"/>
        <v>0</v>
      </c>
      <c r="L27" s="567">
        <f t="shared" si="5"/>
        <v>0</v>
      </c>
    </row>
    <row r="28" spans="1:12" ht="9" customHeight="1" x14ac:dyDescent="0.2">
      <c r="A28" s="562"/>
      <c r="B28" s="562"/>
      <c r="C28" s="568"/>
      <c r="D28" s="562"/>
      <c r="E28" s="563"/>
      <c r="F28" s="563"/>
      <c r="G28" s="563"/>
      <c r="H28" s="563"/>
      <c r="I28" s="563"/>
      <c r="J28" s="563"/>
      <c r="K28" s="564"/>
      <c r="L28" s="564"/>
    </row>
    <row r="29" spans="1:12" hidden="1" x14ac:dyDescent="0.2">
      <c r="A29" s="1383" t="str">
        <f>'[1]Planilha orçamentária'!A126</f>
        <v>VII</v>
      </c>
      <c r="B29" s="1384" t="str">
        <f>'[1]Planilha orçamentária'!B126</f>
        <v>- OBRAS DE ARTES ESPECIAIS, SINALIZAÇÕES E MATA BURRO</v>
      </c>
      <c r="C29" s="1385">
        <f>'[1]Planilha orçamentária'!N126</f>
        <v>0</v>
      </c>
      <c r="D29" s="1386">
        <f>ROUND(C29/C$38,6)</f>
        <v>0</v>
      </c>
      <c r="E29" s="566"/>
      <c r="F29" s="566">
        <v>0.5</v>
      </c>
      <c r="G29" s="566">
        <v>0.5</v>
      </c>
      <c r="H29" s="566"/>
      <c r="I29" s="566"/>
      <c r="J29" s="566"/>
      <c r="K29" s="566"/>
      <c r="L29" s="566"/>
    </row>
    <row r="30" spans="1:12" hidden="1" x14ac:dyDescent="0.2">
      <c r="A30" s="1383"/>
      <c r="B30" s="1384"/>
      <c r="C30" s="1385"/>
      <c r="D30" s="1386"/>
      <c r="E30" s="567">
        <f t="shared" ref="E30:L30" si="6">IF(E$9&lt;=$E$6,$C29*E29,0)</f>
        <v>0</v>
      </c>
      <c r="F30" s="567">
        <f t="shared" si="6"/>
        <v>0</v>
      </c>
      <c r="G30" s="567">
        <f t="shared" si="6"/>
        <v>0</v>
      </c>
      <c r="H30" s="567">
        <f t="shared" si="6"/>
        <v>0</v>
      </c>
      <c r="I30" s="567">
        <f t="shared" si="6"/>
        <v>0</v>
      </c>
      <c r="J30" s="567">
        <f t="shared" si="6"/>
        <v>0</v>
      </c>
      <c r="K30" s="567">
        <f t="shared" si="6"/>
        <v>0</v>
      </c>
      <c r="L30" s="567">
        <f t="shared" si="6"/>
        <v>0</v>
      </c>
    </row>
    <row r="31" spans="1:12" hidden="1" x14ac:dyDescent="0.2">
      <c r="A31" s="562"/>
      <c r="B31" s="562"/>
      <c r="C31" s="568"/>
      <c r="D31" s="562"/>
      <c r="E31" s="563"/>
      <c r="F31" s="563"/>
      <c r="G31" s="563"/>
      <c r="H31" s="563"/>
      <c r="I31" s="563"/>
      <c r="J31" s="563"/>
      <c r="K31" s="564"/>
      <c r="L31" s="564"/>
    </row>
    <row r="32" spans="1:12" ht="13.9" customHeight="1" x14ac:dyDescent="0.2">
      <c r="A32" s="1383" t="s">
        <v>210</v>
      </c>
      <c r="B32" s="1384" t="str">
        <f>'[1]Planilha orçamentária'!B145</f>
        <v>- REVESTIMENTO PRIMÁRIO</v>
      </c>
      <c r="C32" s="1385">
        <f>'PLANILHA ORÇAMENTÁRIA'!N144</f>
        <v>243774.69</v>
      </c>
      <c r="D32" s="1386">
        <f>ROUND(C32/C$38,6)</f>
        <v>0.24196300000000001</v>
      </c>
      <c r="E32" s="566"/>
      <c r="F32" s="566">
        <v>0.3</v>
      </c>
      <c r="G32" s="566">
        <v>0.3</v>
      </c>
      <c r="H32" s="566">
        <v>0.4</v>
      </c>
      <c r="I32" s="566"/>
      <c r="J32" s="566"/>
      <c r="K32" s="566"/>
      <c r="L32" s="566"/>
    </row>
    <row r="33" spans="1:12" x14ac:dyDescent="0.2">
      <c r="A33" s="1383"/>
      <c r="B33" s="1384"/>
      <c r="C33" s="1385"/>
      <c r="D33" s="1386"/>
      <c r="E33" s="567">
        <f t="shared" ref="E33:L33" si="7">IF(E$9&lt;=$E$6,$C32*E32,0)</f>
        <v>0</v>
      </c>
      <c r="F33" s="567">
        <f t="shared" si="7"/>
        <v>73132.406999999992</v>
      </c>
      <c r="G33" s="567">
        <f t="shared" si="7"/>
        <v>73132.406999999992</v>
      </c>
      <c r="H33" s="567">
        <f t="shared" si="7"/>
        <v>97509.876000000004</v>
      </c>
      <c r="I33" s="567">
        <f t="shared" si="7"/>
        <v>0</v>
      </c>
      <c r="J33" s="567">
        <f t="shared" si="7"/>
        <v>0</v>
      </c>
      <c r="K33" s="567">
        <f t="shared" si="7"/>
        <v>0</v>
      </c>
      <c r="L33" s="567">
        <f t="shared" si="7"/>
        <v>0</v>
      </c>
    </row>
    <row r="34" spans="1:12" ht="9" customHeight="1" x14ac:dyDescent="0.2">
      <c r="A34" s="562"/>
      <c r="B34" s="562"/>
      <c r="C34" s="568"/>
      <c r="D34" s="562"/>
      <c r="E34" s="563"/>
      <c r="F34" s="563"/>
      <c r="G34" s="563"/>
      <c r="H34" s="563"/>
      <c r="I34" s="563"/>
      <c r="J34" s="563"/>
      <c r="K34" s="564"/>
      <c r="L34" s="564"/>
    </row>
    <row r="35" spans="1:12" ht="13.9" customHeight="1" x14ac:dyDescent="0.2">
      <c r="A35" s="1383" t="s">
        <v>219</v>
      </c>
      <c r="B35" s="1384" t="str">
        <f>'[1]Planilha orçamentária'!B156</f>
        <v>- RECUPERAÇÃO AMBIENTAL DE ÁREA DE EMPRÉSTIMO</v>
      </c>
      <c r="C35" s="1385">
        <f>'PLANILHA ORÇAMENTÁRIA'!N155</f>
        <v>16100</v>
      </c>
      <c r="D35" s="1386">
        <f>ROUND(C35/C$38,6)</f>
        <v>1.5980000000000001E-2</v>
      </c>
      <c r="E35" s="566"/>
      <c r="F35" s="566"/>
      <c r="G35" s="566"/>
      <c r="H35" s="566">
        <v>1</v>
      </c>
      <c r="I35" s="566"/>
      <c r="J35" s="566"/>
      <c r="K35" s="566"/>
      <c r="L35" s="566"/>
    </row>
    <row r="36" spans="1:12" x14ac:dyDescent="0.2">
      <c r="A36" s="1383"/>
      <c r="B36" s="1384"/>
      <c r="C36" s="1385"/>
      <c r="D36" s="1386"/>
      <c r="E36" s="567">
        <f t="shared" ref="E36:L36" si="8">IF(E$9&lt;=$E$6,$C35*E35,0)</f>
        <v>0</v>
      </c>
      <c r="F36" s="567">
        <f t="shared" si="8"/>
        <v>0</v>
      </c>
      <c r="G36" s="567">
        <f t="shared" si="8"/>
        <v>0</v>
      </c>
      <c r="H36" s="567">
        <f t="shared" si="8"/>
        <v>16100</v>
      </c>
      <c r="I36" s="567">
        <f t="shared" si="8"/>
        <v>0</v>
      </c>
      <c r="J36" s="567">
        <f t="shared" si="8"/>
        <v>0</v>
      </c>
      <c r="K36" s="567">
        <f t="shared" si="8"/>
        <v>0</v>
      </c>
      <c r="L36" s="567">
        <f t="shared" si="8"/>
        <v>0</v>
      </c>
    </row>
    <row r="37" spans="1:12" ht="9" customHeight="1" x14ac:dyDescent="0.2">
      <c r="A37" s="562"/>
      <c r="B37" s="562"/>
      <c r="C37" s="562"/>
      <c r="D37" s="562"/>
      <c r="E37" s="563"/>
      <c r="F37" s="563"/>
      <c r="G37" s="563"/>
      <c r="H37" s="563"/>
      <c r="I37" s="563"/>
      <c r="J37" s="563"/>
      <c r="K37" s="564"/>
      <c r="L37" s="564"/>
    </row>
    <row r="38" spans="1:12" x14ac:dyDescent="0.2">
      <c r="A38" s="1380" t="s">
        <v>244</v>
      </c>
      <c r="B38" s="1380"/>
      <c r="C38" s="1387">
        <f>C11+C14+C17+C20+C23+C26+C29+C32+C35</f>
        <v>1007489.5367999999</v>
      </c>
      <c r="D38" s="1380" t="s">
        <v>245</v>
      </c>
      <c r="E38" s="567">
        <f t="shared" ref="E38:L38" si="9">E12+E15+E18+E21+E24+E27+E30+E33+E36</f>
        <v>281089.31072000001</v>
      </c>
      <c r="F38" s="567">
        <f t="shared" si="9"/>
        <v>293431.33803999994</v>
      </c>
      <c r="G38" s="567">
        <f t="shared" si="9"/>
        <v>293431.33803999994</v>
      </c>
      <c r="H38" s="567">
        <f t="shared" si="9"/>
        <v>139537.54999999999</v>
      </c>
      <c r="I38" s="567">
        <f t="shared" si="9"/>
        <v>0</v>
      </c>
      <c r="J38" s="567">
        <f t="shared" si="9"/>
        <v>0</v>
      </c>
      <c r="K38" s="567">
        <f t="shared" si="9"/>
        <v>0</v>
      </c>
      <c r="L38" s="567">
        <f t="shared" si="9"/>
        <v>0</v>
      </c>
    </row>
    <row r="39" spans="1:12" x14ac:dyDescent="0.2">
      <c r="A39" s="1380" t="s">
        <v>246</v>
      </c>
      <c r="B39" s="1380"/>
      <c r="C39" s="1387"/>
      <c r="D39" s="1380"/>
      <c r="E39" s="567">
        <f>IF(E9&lt;=$E$6,E38,0)</f>
        <v>281089.31072000001</v>
      </c>
      <c r="F39" s="567">
        <f t="shared" ref="F39:L39" si="10">IF(F9&lt;=$E$6,E39+F38,0)</f>
        <v>574520.64876000001</v>
      </c>
      <c r="G39" s="567">
        <f t="shared" si="10"/>
        <v>867951.98679999996</v>
      </c>
      <c r="H39" s="567">
        <f t="shared" si="10"/>
        <v>1007489.5367999999</v>
      </c>
      <c r="I39" s="567">
        <f t="shared" si="10"/>
        <v>0</v>
      </c>
      <c r="J39" s="567">
        <f t="shared" si="10"/>
        <v>0</v>
      </c>
      <c r="K39" s="567">
        <f t="shared" si="10"/>
        <v>0</v>
      </c>
      <c r="L39" s="567">
        <f t="shared" si="10"/>
        <v>0</v>
      </c>
    </row>
    <row r="40" spans="1:12" x14ac:dyDescent="0.2">
      <c r="A40" s="1380" t="s">
        <v>247</v>
      </c>
      <c r="B40" s="1380"/>
      <c r="C40" s="1381">
        <f>C38/C38</f>
        <v>1</v>
      </c>
      <c r="D40" s="1381">
        <f>SUM(D11:D36)</f>
        <v>1</v>
      </c>
      <c r="E40" s="569">
        <f>E38/C38</f>
        <v>0.27899973196029326</v>
      </c>
      <c r="F40" s="569">
        <f t="shared" ref="F40:L40" si="11">F38/$C38</f>
        <v>0.29125001036933845</v>
      </c>
      <c r="G40" s="569">
        <f t="shared" si="11"/>
        <v>0.29125001036933845</v>
      </c>
      <c r="H40" s="569">
        <f t="shared" si="11"/>
        <v>0.13850024730102983</v>
      </c>
      <c r="I40" s="569">
        <f t="shared" si="11"/>
        <v>0</v>
      </c>
      <c r="J40" s="569">
        <f t="shared" si="11"/>
        <v>0</v>
      </c>
      <c r="K40" s="569">
        <f t="shared" si="11"/>
        <v>0</v>
      </c>
      <c r="L40" s="569">
        <f t="shared" si="11"/>
        <v>0</v>
      </c>
    </row>
    <row r="41" spans="1:12" x14ac:dyDescent="0.2">
      <c r="A41" s="1380" t="s">
        <v>248</v>
      </c>
      <c r="B41" s="1380"/>
      <c r="C41" s="1381"/>
      <c r="D41" s="1381"/>
      <c r="E41" s="569">
        <f>E40</f>
        <v>0.27899973196029326</v>
      </c>
      <c r="F41" s="569">
        <f t="shared" ref="F41:L41" si="12">E41+F40</f>
        <v>0.57024974232963177</v>
      </c>
      <c r="G41" s="569">
        <f t="shared" si="12"/>
        <v>0.86149975269897028</v>
      </c>
      <c r="H41" s="569">
        <f t="shared" si="12"/>
        <v>1</v>
      </c>
      <c r="I41" s="569">
        <f t="shared" si="12"/>
        <v>1</v>
      </c>
      <c r="J41" s="569">
        <f t="shared" si="12"/>
        <v>1</v>
      </c>
      <c r="K41" s="569">
        <f t="shared" si="12"/>
        <v>1</v>
      </c>
      <c r="L41" s="569">
        <f t="shared" si="12"/>
        <v>1</v>
      </c>
    </row>
    <row r="42" spans="1:12" ht="9" customHeight="1" x14ac:dyDescent="0.2">
      <c r="A42" s="564"/>
      <c r="B42" s="564"/>
      <c r="C42" s="570"/>
      <c r="D42" s="570"/>
      <c r="E42" s="570"/>
      <c r="F42" s="570"/>
      <c r="G42" s="570"/>
      <c r="H42" s="570"/>
      <c r="I42" s="570"/>
      <c r="J42" s="570"/>
      <c r="K42" s="570"/>
      <c r="L42" s="570"/>
    </row>
    <row r="43" spans="1:12" x14ac:dyDescent="0.2">
      <c r="A43" s="564"/>
      <c r="B43" s="564"/>
      <c r="C43" s="571">
        <f>C38/K4</f>
        <v>82920.949530864193</v>
      </c>
      <c r="D43" s="572" t="s">
        <v>249</v>
      </c>
      <c r="E43" s="573"/>
      <c r="F43" s="564"/>
      <c r="G43" s="570"/>
      <c r="H43" s="570"/>
      <c r="I43" s="570"/>
      <c r="J43" s="570"/>
      <c r="K43" s="570"/>
      <c r="L43" s="570"/>
    </row>
    <row r="44" spans="1:12" x14ac:dyDescent="0.2">
      <c r="A44" s="564"/>
      <c r="B44" s="574" t="s">
        <v>250</v>
      </c>
      <c r="C44" s="575">
        <f>C45/C38</f>
        <v>7.433863803477667E-3</v>
      </c>
      <c r="D44" s="576" t="s">
        <v>251</v>
      </c>
      <c r="E44" s="572">
        <f t="shared" ref="E44:L44" si="13">E38*$C$44</f>
        <v>2089.579652505895</v>
      </c>
      <c r="F44" s="572">
        <f t="shared" si="13"/>
        <v>2181.3286026615751</v>
      </c>
      <c r="G44" s="572">
        <f t="shared" si="13"/>
        <v>2181.3286026615751</v>
      </c>
      <c r="H44" s="572">
        <f t="shared" si="13"/>
        <v>1037.303142170955</v>
      </c>
      <c r="I44" s="572">
        <f t="shared" si="13"/>
        <v>0</v>
      </c>
      <c r="J44" s="572">
        <f t="shared" si="13"/>
        <v>0</v>
      </c>
      <c r="K44" s="572">
        <f t="shared" si="13"/>
        <v>0</v>
      </c>
      <c r="L44" s="572">
        <f t="shared" si="13"/>
        <v>0</v>
      </c>
    </row>
    <row r="45" spans="1:12" x14ac:dyDescent="0.2">
      <c r="A45" s="577"/>
      <c r="B45" s="574" t="s">
        <v>252</v>
      </c>
      <c r="C45" s="578">
        <v>7489.54</v>
      </c>
      <c r="D45" s="579" t="s">
        <v>253</v>
      </c>
      <c r="E45" s="580">
        <f t="shared" ref="E45:L45" si="14">E38-E44</f>
        <v>278999.73106749414</v>
      </c>
      <c r="F45" s="580">
        <f t="shared" si="14"/>
        <v>291250.00943733839</v>
      </c>
      <c r="G45" s="580">
        <f t="shared" si="14"/>
        <v>291250.00943733839</v>
      </c>
      <c r="H45" s="580">
        <f t="shared" si="14"/>
        <v>138500.24685782904</v>
      </c>
      <c r="I45" s="580">
        <f t="shared" si="14"/>
        <v>0</v>
      </c>
      <c r="J45" s="580">
        <f t="shared" si="14"/>
        <v>0</v>
      </c>
      <c r="K45" s="580">
        <f t="shared" si="14"/>
        <v>0</v>
      </c>
      <c r="L45" s="580">
        <f t="shared" si="14"/>
        <v>0</v>
      </c>
    </row>
    <row r="46" spans="1:12" x14ac:dyDescent="0.2">
      <c r="A46" s="581"/>
      <c r="B46" s="574" t="s">
        <v>254</v>
      </c>
      <c r="C46" s="582">
        <f>E45+F45+G45+H45+I45+J45</f>
        <v>999999.99679999996</v>
      </c>
      <c r="D46" s="583"/>
      <c r="E46" s="584"/>
      <c r="F46" s="583"/>
      <c r="G46" s="583"/>
      <c r="H46" s="585"/>
      <c r="I46" s="583"/>
      <c r="J46" s="585"/>
      <c r="K46" s="564"/>
      <c r="L46" s="564"/>
    </row>
    <row r="47" spans="1:12" x14ac:dyDescent="0.2">
      <c r="A47" s="581"/>
      <c r="B47" s="586" t="s">
        <v>255</v>
      </c>
      <c r="C47" s="587">
        <f>C45+C46</f>
        <v>1007489.5368</v>
      </c>
      <c r="D47" s="564"/>
      <c r="E47" s="564"/>
      <c r="F47" s="564"/>
      <c r="G47" s="583"/>
      <c r="H47" s="585"/>
      <c r="I47" s="583"/>
      <c r="J47" s="564"/>
      <c r="K47" s="564"/>
      <c r="L47" s="564"/>
    </row>
    <row r="48" spans="1:12" x14ac:dyDescent="0.2">
      <c r="A48" s="577"/>
      <c r="B48" s="577"/>
      <c r="C48" s="577"/>
      <c r="D48" s="564"/>
      <c r="E48" s="588"/>
      <c r="F48" s="564"/>
      <c r="G48" s="564"/>
      <c r="H48" s="564"/>
      <c r="I48" s="564"/>
      <c r="J48" s="564"/>
      <c r="K48" s="564"/>
      <c r="L48" s="564"/>
    </row>
    <row r="49" spans="1:12" x14ac:dyDescent="0.2">
      <c r="A49" s="577"/>
      <c r="B49" s="577"/>
      <c r="C49" s="577"/>
      <c r="D49" s="564"/>
      <c r="E49" s="588"/>
      <c r="F49" s="564"/>
      <c r="G49" s="1382" t="str">
        <f>'[1]Informações de entrada'!C30</f>
        <v>Nome do profissional</v>
      </c>
      <c r="H49" s="1382"/>
      <c r="I49" s="1382"/>
      <c r="J49" s="589"/>
      <c r="K49" s="564"/>
      <c r="L49" s="564"/>
    </row>
    <row r="50" spans="1:12" x14ac:dyDescent="0.2">
      <c r="A50" s="577"/>
      <c r="B50" s="577"/>
      <c r="C50" s="577"/>
      <c r="D50" s="590"/>
      <c r="E50" s="564"/>
      <c r="F50" s="564"/>
      <c r="G50" s="1349" t="str">
        <f>'[1]Informações de entrada'!C31</f>
        <v>Engº Civil - CREA 0000 / D</v>
      </c>
      <c r="H50" s="1349"/>
      <c r="I50" s="1349"/>
      <c r="J50" s="564"/>
      <c r="K50" s="564"/>
      <c r="L50" s="564"/>
    </row>
    <row r="51" spans="1:12" x14ac:dyDescent="0.2">
      <c r="A51" s="564"/>
      <c r="B51" s="564"/>
      <c r="C51" s="564"/>
      <c r="D51" s="591"/>
      <c r="E51" s="564"/>
      <c r="F51" s="564"/>
      <c r="G51" s="564"/>
      <c r="H51" s="564"/>
      <c r="I51" s="564"/>
      <c r="J51" s="564"/>
      <c r="K51" s="564"/>
      <c r="L51" s="564"/>
    </row>
    <row r="52" spans="1:12" x14ac:dyDescent="0.2">
      <c r="A52" s="592">
        <v>90</v>
      </c>
    </row>
    <row r="53" spans="1:12" x14ac:dyDescent="0.2">
      <c r="A53" s="592">
        <v>120</v>
      </c>
    </row>
    <row r="54" spans="1:12" x14ac:dyDescent="0.2">
      <c r="A54" s="592">
        <v>150</v>
      </c>
    </row>
    <row r="55" spans="1:12" x14ac:dyDescent="0.2">
      <c r="A55" s="592">
        <v>180</v>
      </c>
    </row>
    <row r="56" spans="1:12" x14ac:dyDescent="0.2">
      <c r="A56" s="592">
        <v>210</v>
      </c>
    </row>
    <row r="57" spans="1:12" x14ac:dyDescent="0.2">
      <c r="A57" s="592">
        <v>240</v>
      </c>
    </row>
  </sheetData>
  <mergeCells count="60">
    <mergeCell ref="A1:B2"/>
    <mergeCell ref="C1:L1"/>
    <mergeCell ref="C2:L2"/>
    <mergeCell ref="A3:B6"/>
    <mergeCell ref="D3:L3"/>
    <mergeCell ref="D4:I4"/>
    <mergeCell ref="D5:I5"/>
    <mergeCell ref="F6:H6"/>
    <mergeCell ref="K6:L6"/>
    <mergeCell ref="A8:A9"/>
    <mergeCell ref="B8:B9"/>
    <mergeCell ref="C8:C9"/>
    <mergeCell ref="D8:D9"/>
    <mergeCell ref="E8:L8"/>
    <mergeCell ref="A11:A12"/>
    <mergeCell ref="B11:B12"/>
    <mergeCell ref="C11:C12"/>
    <mergeCell ref="D11:D12"/>
    <mergeCell ref="A14:A15"/>
    <mergeCell ref="B14:B15"/>
    <mergeCell ref="C14:C15"/>
    <mergeCell ref="D14:D15"/>
    <mergeCell ref="A17:A18"/>
    <mergeCell ref="B17:B18"/>
    <mergeCell ref="C17:C18"/>
    <mergeCell ref="D17:D18"/>
    <mergeCell ref="A20:A21"/>
    <mergeCell ref="B20:B21"/>
    <mergeCell ref="C20:C21"/>
    <mergeCell ref="D20:D21"/>
    <mergeCell ref="A23:A24"/>
    <mergeCell ref="B23:B24"/>
    <mergeCell ref="C23:C24"/>
    <mergeCell ref="D23:D24"/>
    <mergeCell ref="A26:A27"/>
    <mergeCell ref="B26:B27"/>
    <mergeCell ref="C26:C27"/>
    <mergeCell ref="D26:D27"/>
    <mergeCell ref="A29:A30"/>
    <mergeCell ref="B29:B30"/>
    <mergeCell ref="C29:C30"/>
    <mergeCell ref="D29:D30"/>
    <mergeCell ref="A32:A33"/>
    <mergeCell ref="B32:B33"/>
    <mergeCell ref="C32:C33"/>
    <mergeCell ref="D32:D33"/>
    <mergeCell ref="A35:A36"/>
    <mergeCell ref="B35:B36"/>
    <mergeCell ref="C35:C36"/>
    <mergeCell ref="D35:D36"/>
    <mergeCell ref="A38:B38"/>
    <mergeCell ref="C38:C39"/>
    <mergeCell ref="D38:D39"/>
    <mergeCell ref="A39:B39"/>
    <mergeCell ref="G50:I50"/>
    <mergeCell ref="A40:B40"/>
    <mergeCell ref="C40:C41"/>
    <mergeCell ref="D40:D41"/>
    <mergeCell ref="A41:B41"/>
    <mergeCell ref="G49:I49"/>
  </mergeCells>
  <conditionalFormatting sqref="E30:L30">
    <cfRule type="expression" dxfId="27" priority="2">
      <formula>$K$30</formula>
    </cfRule>
  </conditionalFormatting>
  <conditionalFormatting sqref="E27:L27">
    <cfRule type="expression" dxfId="26" priority="3">
      <formula>$K$30</formula>
    </cfRule>
  </conditionalFormatting>
  <conditionalFormatting sqref="E12:L12">
    <cfRule type="expression" dxfId="25" priority="4">
      <formula>$K$30</formula>
    </cfRule>
  </conditionalFormatting>
  <conditionalFormatting sqref="E27:L27">
    <cfRule type="expression" dxfId="24" priority="5">
      <formula>$K$30</formula>
    </cfRule>
  </conditionalFormatting>
  <conditionalFormatting sqref="E27:L27">
    <cfRule type="expression" dxfId="23" priority="6">
      <formula>$K$30</formula>
    </cfRule>
  </conditionalFormatting>
  <conditionalFormatting sqref="E12:L12">
    <cfRule type="expression" dxfId="22" priority="7">
      <formula>$K$30</formula>
    </cfRule>
  </conditionalFormatting>
  <conditionalFormatting sqref="E12:L12">
    <cfRule type="expression" dxfId="21" priority="8">
      <formula>$K$30</formula>
    </cfRule>
  </conditionalFormatting>
  <conditionalFormatting sqref="E12:L12">
    <cfRule type="expression" dxfId="20" priority="9">
      <formula>$K$30</formula>
    </cfRule>
  </conditionalFormatting>
  <conditionalFormatting sqref="E21:L21">
    <cfRule type="expression" dxfId="19" priority="10">
      <formula>$K$30</formula>
    </cfRule>
  </conditionalFormatting>
  <conditionalFormatting sqref="E21:L21">
    <cfRule type="expression" dxfId="18" priority="11">
      <formula>$K$30</formula>
    </cfRule>
  </conditionalFormatting>
  <conditionalFormatting sqref="E21:L21">
    <cfRule type="expression" dxfId="17" priority="12">
      <formula>$K$30</formula>
    </cfRule>
  </conditionalFormatting>
  <conditionalFormatting sqref="E21:L21">
    <cfRule type="expression" dxfId="16" priority="13">
      <formula>$K$30</formula>
    </cfRule>
  </conditionalFormatting>
  <conditionalFormatting sqref="E24:L24">
    <cfRule type="expression" dxfId="15" priority="14">
      <formula>$K$30</formula>
    </cfRule>
  </conditionalFormatting>
  <conditionalFormatting sqref="E24:L24">
    <cfRule type="expression" dxfId="14" priority="15">
      <formula>$K$30</formula>
    </cfRule>
  </conditionalFormatting>
  <conditionalFormatting sqref="E24:L24">
    <cfRule type="expression" dxfId="13" priority="16">
      <formula>$K$30</formula>
    </cfRule>
  </conditionalFormatting>
  <conditionalFormatting sqref="E24:L24">
    <cfRule type="expression" dxfId="12" priority="17">
      <formula>$K$30</formula>
    </cfRule>
  </conditionalFormatting>
  <conditionalFormatting sqref="E33:L33">
    <cfRule type="expression" dxfId="11" priority="18">
      <formula>$K$30</formula>
    </cfRule>
  </conditionalFormatting>
  <conditionalFormatting sqref="E36:L36">
    <cfRule type="expression" dxfId="10" priority="19">
      <formula>$K$30</formula>
    </cfRule>
  </conditionalFormatting>
  <conditionalFormatting sqref="E15:L15">
    <cfRule type="expression" dxfId="9" priority="20">
      <formula>$K$30</formula>
    </cfRule>
  </conditionalFormatting>
  <conditionalFormatting sqref="E15:L15">
    <cfRule type="expression" dxfId="8" priority="21">
      <formula>$K$30</formula>
    </cfRule>
  </conditionalFormatting>
  <conditionalFormatting sqref="E15:L15">
    <cfRule type="expression" dxfId="7" priority="22">
      <formula>$K$30</formula>
    </cfRule>
  </conditionalFormatting>
  <conditionalFormatting sqref="E15:L15">
    <cfRule type="expression" dxfId="6" priority="23">
      <formula>$K$30</formula>
    </cfRule>
  </conditionalFormatting>
  <conditionalFormatting sqref="E18:L18">
    <cfRule type="expression" dxfId="5" priority="24">
      <formula>$K$30</formula>
    </cfRule>
  </conditionalFormatting>
  <conditionalFormatting sqref="E18:L18">
    <cfRule type="expression" dxfId="4" priority="25">
      <formula>$K$30</formula>
    </cfRule>
  </conditionalFormatting>
  <conditionalFormatting sqref="E18:L18">
    <cfRule type="expression" dxfId="3" priority="26">
      <formula>$K$30</formula>
    </cfRule>
  </conditionalFormatting>
  <conditionalFormatting sqref="E18:L18">
    <cfRule type="expression" dxfId="2" priority="27">
      <formula>$K$30</formula>
    </cfRule>
  </conditionalFormatting>
  <dataValidations count="2">
    <dataValidation type="list" allowBlank="1" showInputMessage="1" showErrorMessage="1" prompt="Selecionar prazo de execução" sqref="E6" xr:uid="{00000000-0002-0000-0300-000000000000}">
      <formula1>$A$52:$A$57</formula1>
      <formula2>0</formula2>
    </dataValidation>
    <dataValidation allowBlank="1" showErrorMessage="1" error="Este valor não pode aultrapassar o limite de R$ 10.000,00 / km" sqref="C43" xr:uid="{00000000-0002-0000-0300-000001000000}">
      <formula1>0</formula1>
      <formula2>0</formula2>
    </dataValidation>
  </dataValidations>
  <printOptions horizontalCentered="1" verticalCentered="1"/>
  <pageMargins left="0.51180555555555496" right="0.51180555555555496" top="0.59027777777777801" bottom="0.59027777777777801" header="0.51180555555555496" footer="0.51180555555555496"/>
  <pageSetup paperSize="9" scale="70" firstPageNumber="0" orientation="landscape"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64"/>
  <sheetViews>
    <sheetView zoomScaleNormal="100" zoomScalePageLayoutView="60" workbookViewId="0"/>
  </sheetViews>
  <sheetFormatPr defaultRowHeight="15" x14ac:dyDescent="0.2"/>
  <cols>
    <col min="1" max="1" width="5.6484375" style="1" customWidth="1"/>
    <col min="2" max="2" width="14.2578125" style="1" customWidth="1"/>
    <col min="3" max="3" width="18.29296875" style="1" customWidth="1"/>
    <col min="4" max="5" width="7.6640625" style="1" customWidth="1"/>
    <col min="6" max="8" width="17.75390625" style="1" customWidth="1"/>
    <col min="9" max="9" width="16.6796875" style="1" customWidth="1"/>
    <col min="10" max="10" width="16.6796875" style="593" customWidth="1"/>
    <col min="11" max="1025" width="8.7421875" customWidth="1"/>
  </cols>
  <sheetData>
    <row r="1" spans="1:10" x14ac:dyDescent="0.2">
      <c r="A1" s="594"/>
      <c r="B1" s="594"/>
      <c r="C1" s="1346" t="s">
        <v>256</v>
      </c>
      <c r="D1" s="1346"/>
      <c r="E1" s="1346"/>
      <c r="F1" s="1346"/>
      <c r="G1" s="1346"/>
      <c r="H1" s="1346"/>
      <c r="I1" s="1346"/>
      <c r="J1" s="595"/>
    </row>
    <row r="2" spans="1:10" x14ac:dyDescent="0.2">
      <c r="A2" s="594"/>
      <c r="B2" s="594"/>
      <c r="C2" s="1346"/>
      <c r="D2" s="1346"/>
      <c r="E2" s="1346"/>
      <c r="F2" s="1346"/>
      <c r="G2" s="1346"/>
      <c r="H2" s="1346"/>
      <c r="I2" s="1346"/>
      <c r="J2" s="595"/>
    </row>
    <row r="3" spans="1:10" x14ac:dyDescent="0.2">
      <c r="A3" s="594"/>
      <c r="B3" s="373"/>
      <c r="C3" s="373"/>
      <c r="D3" s="373"/>
      <c r="E3" s="373"/>
      <c r="F3" s="370"/>
      <c r="G3" s="370"/>
      <c r="H3" s="370"/>
      <c r="I3" s="370"/>
      <c r="J3" s="596"/>
    </row>
    <row r="4" spans="1:10" x14ac:dyDescent="0.2">
      <c r="A4" s="594"/>
      <c r="B4" s="594"/>
      <c r="C4" s="1346"/>
      <c r="D4" s="1346"/>
      <c r="E4" s="1346"/>
      <c r="F4" s="1346"/>
      <c r="G4" s="1346"/>
      <c r="H4" s="1346"/>
      <c r="I4" s="1346"/>
      <c r="J4" s="595"/>
    </row>
    <row r="5" spans="1:10" x14ac:dyDescent="0.2">
      <c r="A5" s="108"/>
      <c r="B5" s="111"/>
      <c r="C5" s="111"/>
      <c r="D5" s="111"/>
      <c r="E5" s="111"/>
      <c r="F5" s="111"/>
      <c r="G5" s="111"/>
      <c r="H5" s="111"/>
      <c r="I5" s="111"/>
      <c r="J5" s="597"/>
    </row>
    <row r="6" spans="1:10" x14ac:dyDescent="0.2">
      <c r="A6" s="108"/>
      <c r="B6" s="108"/>
      <c r="C6" s="1346" t="s">
        <v>257</v>
      </c>
      <c r="D6" s="1346"/>
      <c r="E6" s="1346"/>
      <c r="F6" s="1346"/>
      <c r="G6" s="1346"/>
      <c r="H6" s="1346"/>
      <c r="I6" s="1346"/>
      <c r="J6" s="595"/>
    </row>
    <row r="7" spans="1:10" x14ac:dyDescent="0.2">
      <c r="A7" s="598"/>
      <c r="B7" s="599"/>
      <c r="C7" s="599"/>
      <c r="D7" s="600"/>
      <c r="E7" s="600"/>
      <c r="F7" s="601"/>
      <c r="G7" s="601"/>
      <c r="H7" s="601"/>
      <c r="I7" s="370"/>
      <c r="J7" s="371"/>
    </row>
    <row r="8" spans="1:10" ht="15.75" customHeight="1" x14ac:dyDescent="0.2">
      <c r="A8" s="1421" t="s">
        <v>258</v>
      </c>
      <c r="B8" s="1421"/>
      <c r="C8" s="1421"/>
      <c r="D8" s="1421"/>
      <c r="E8" s="1421"/>
      <c r="F8" s="1422" t="s">
        <v>259</v>
      </c>
      <c r="G8" s="1422"/>
      <c r="H8" s="1422"/>
      <c r="I8" s="602"/>
      <c r="J8" s="603"/>
    </row>
    <row r="9" spans="1:10" ht="25.5" customHeight="1" x14ac:dyDescent="0.2">
      <c r="A9" s="1418" t="s">
        <v>260</v>
      </c>
      <c r="B9" s="1418"/>
      <c r="C9" s="1419" t="s">
        <v>261</v>
      </c>
      <c r="D9" s="1419"/>
      <c r="E9" s="1419"/>
      <c r="F9" s="605" t="s">
        <v>262</v>
      </c>
      <c r="G9" s="605" t="s">
        <v>263</v>
      </c>
      <c r="H9" s="606" t="s">
        <v>264</v>
      </c>
      <c r="I9" s="607" t="s">
        <v>265</v>
      </c>
      <c r="J9" s="608" t="s">
        <v>266</v>
      </c>
    </row>
    <row r="10" spans="1:10" x14ac:dyDescent="0.2">
      <c r="A10" s="609" t="s">
        <v>267</v>
      </c>
      <c r="B10" s="610" t="s">
        <v>268</v>
      </c>
      <c r="C10" s="611"/>
      <c r="D10" s="1420" t="s">
        <v>269</v>
      </c>
      <c r="E10" s="1420"/>
      <c r="F10" s="612">
        <v>3.7999999999999999E-2</v>
      </c>
      <c r="G10" s="612">
        <v>4.0099999999999997E-2</v>
      </c>
      <c r="H10" s="613">
        <v>4.6699999999999998E-2</v>
      </c>
      <c r="I10" s="614">
        <v>3.7999999999999999E-2</v>
      </c>
      <c r="J10" s="615">
        <f>ROUND(I10,4)</f>
        <v>3.7999999999999999E-2</v>
      </c>
    </row>
    <row r="11" spans="1:10" x14ac:dyDescent="0.2">
      <c r="A11" s="616" t="s">
        <v>270</v>
      </c>
      <c r="B11" s="617" t="s">
        <v>271</v>
      </c>
      <c r="C11" s="495"/>
      <c r="D11" s="618" t="s">
        <v>242</v>
      </c>
      <c r="E11" s="619" t="s">
        <v>272</v>
      </c>
      <c r="F11" s="620">
        <v>1.0200000000000001E-2</v>
      </c>
      <c r="G11" s="620">
        <v>1.11E-2</v>
      </c>
      <c r="H11" s="621">
        <v>1.21E-2</v>
      </c>
      <c r="I11" s="622">
        <v>1.0200000000000001E-2</v>
      </c>
      <c r="J11" s="623">
        <f>ROUND(I11,4)</f>
        <v>1.0200000000000001E-2</v>
      </c>
    </row>
    <row r="12" spans="1:10" x14ac:dyDescent="0.2">
      <c r="A12" s="616" t="s">
        <v>273</v>
      </c>
      <c r="B12" s="617" t="s">
        <v>274</v>
      </c>
      <c r="C12" s="495"/>
      <c r="D12" s="618" t="s">
        <v>242</v>
      </c>
      <c r="E12" s="619" t="s">
        <v>272</v>
      </c>
      <c r="F12" s="620">
        <v>3.2000000000000002E-3</v>
      </c>
      <c r="G12" s="620">
        <v>4.0000000000000001E-3</v>
      </c>
      <c r="H12" s="621">
        <v>7.4000000000000003E-3</v>
      </c>
      <c r="I12" s="622">
        <v>3.2000000000000002E-3</v>
      </c>
      <c r="J12" s="623">
        <f>ROUND(I12,4)</f>
        <v>3.2000000000000002E-3</v>
      </c>
    </row>
    <row r="13" spans="1:10" x14ac:dyDescent="0.2">
      <c r="A13" s="624" t="s">
        <v>275</v>
      </c>
      <c r="B13" s="625" t="s">
        <v>276</v>
      </c>
      <c r="C13" s="626"/>
      <c r="D13" s="618" t="s">
        <v>242</v>
      </c>
      <c r="E13" s="627" t="s">
        <v>272</v>
      </c>
      <c r="F13" s="628">
        <v>5.0000000000000001E-3</v>
      </c>
      <c r="G13" s="628">
        <v>5.5999999999999999E-3</v>
      </c>
      <c r="H13" s="629">
        <v>9.7000000000000003E-3</v>
      </c>
      <c r="I13" s="622">
        <v>5.0000000000000001E-3</v>
      </c>
      <c r="J13" s="623">
        <f>ROUND(I13,4)</f>
        <v>5.0000000000000001E-3</v>
      </c>
    </row>
    <row r="14" spans="1:10" x14ac:dyDescent="0.2">
      <c r="A14" s="630"/>
      <c r="B14" s="631"/>
      <c r="C14" s="631"/>
      <c r="D14" s="631"/>
      <c r="E14" s="632" t="s">
        <v>277</v>
      </c>
      <c r="F14" s="633">
        <f>SUM(F10:F13)</f>
        <v>5.6399999999999999E-2</v>
      </c>
      <c r="G14" s="633">
        <f>SUM(G10:G13)</f>
        <v>6.08E-2</v>
      </c>
      <c r="H14" s="634">
        <f>SUM(H10:H13)</f>
        <v>7.5899999999999995E-2</v>
      </c>
      <c r="I14" s="635">
        <f>SUM(I10:I13)</f>
        <v>5.6399999999999999E-2</v>
      </c>
      <c r="J14" s="636">
        <f>SUM(J10:J13)</f>
        <v>5.6399999999999999E-2</v>
      </c>
    </row>
    <row r="15" spans="1:10" x14ac:dyDescent="0.2">
      <c r="A15" s="637"/>
      <c r="B15" s="638"/>
      <c r="C15" s="638"/>
      <c r="D15" s="639"/>
      <c r="E15" s="639"/>
      <c r="F15" s="640"/>
      <c r="G15" s="641"/>
      <c r="H15" s="642"/>
      <c r="I15" s="643"/>
      <c r="J15" s="644"/>
    </row>
    <row r="16" spans="1:10" ht="25.5" customHeight="1" x14ac:dyDescent="0.2">
      <c r="A16" s="1414" t="s">
        <v>278</v>
      </c>
      <c r="B16" s="1414"/>
      <c r="C16" s="1415" t="s">
        <v>279</v>
      </c>
      <c r="D16" s="1415"/>
      <c r="E16" s="604"/>
      <c r="F16" s="645" t="s">
        <v>262</v>
      </c>
      <c r="G16" s="645" t="s">
        <v>263</v>
      </c>
      <c r="H16" s="646" t="s">
        <v>264</v>
      </c>
      <c r="I16" s="607" t="s">
        <v>265</v>
      </c>
      <c r="J16" s="608" t="s">
        <v>266</v>
      </c>
    </row>
    <row r="17" spans="1:10" ht="15" customHeight="1" x14ac:dyDescent="0.2">
      <c r="A17" s="647" t="s">
        <v>280</v>
      </c>
      <c r="B17" s="648" t="s">
        <v>281</v>
      </c>
      <c r="C17" s="648"/>
      <c r="D17" s="1413" t="s">
        <v>269</v>
      </c>
      <c r="E17" s="1413"/>
      <c r="F17" s="649">
        <v>6.6400000000000001E-2</v>
      </c>
      <c r="G17" s="649">
        <v>7.2999999999999995E-2</v>
      </c>
      <c r="H17" s="650">
        <v>8.6900000000000005E-2</v>
      </c>
      <c r="I17" s="651">
        <v>7.6999999999999999E-2</v>
      </c>
      <c r="J17" s="652">
        <f>ROUND(I17,4)</f>
        <v>7.6999999999999999E-2</v>
      </c>
    </row>
    <row r="18" spans="1:10" x14ac:dyDescent="0.2">
      <c r="A18" s="653"/>
      <c r="B18" s="631"/>
      <c r="C18" s="631"/>
      <c r="D18" s="631"/>
      <c r="E18" s="632" t="s">
        <v>282</v>
      </c>
      <c r="F18" s="654">
        <f>SUM(F17)</f>
        <v>6.6400000000000001E-2</v>
      </c>
      <c r="G18" s="654">
        <f>SUM(G17)</f>
        <v>7.2999999999999995E-2</v>
      </c>
      <c r="H18" s="655">
        <f>SUM(H17)</f>
        <v>8.6900000000000005E-2</v>
      </c>
      <c r="I18" s="656">
        <f>SUM(I17)</f>
        <v>7.6999999999999999E-2</v>
      </c>
      <c r="J18" s="636">
        <f>SUM(J17)</f>
        <v>7.6999999999999999E-2</v>
      </c>
    </row>
    <row r="19" spans="1:10" x14ac:dyDescent="0.2">
      <c r="A19" s="637"/>
      <c r="B19" s="638"/>
      <c r="C19" s="638"/>
      <c r="D19" s="639"/>
      <c r="E19" s="639"/>
      <c r="F19" s="640"/>
      <c r="G19" s="641"/>
      <c r="H19" s="642"/>
      <c r="I19" s="657"/>
      <c r="J19" s="644"/>
    </row>
    <row r="20" spans="1:10" ht="25.5" customHeight="1" x14ac:dyDescent="0.2">
      <c r="A20" s="1414" t="s">
        <v>283</v>
      </c>
      <c r="B20" s="1414"/>
      <c r="C20" s="1415" t="s">
        <v>284</v>
      </c>
      <c r="D20" s="1415"/>
      <c r="E20" s="604"/>
      <c r="F20" s="645" t="s">
        <v>262</v>
      </c>
      <c r="G20" s="645" t="s">
        <v>263</v>
      </c>
      <c r="H20" s="646" t="s">
        <v>264</v>
      </c>
      <c r="I20" s="607" t="s">
        <v>265</v>
      </c>
      <c r="J20" s="608" t="s">
        <v>285</v>
      </c>
    </row>
    <row r="21" spans="1:10" ht="15" customHeight="1" x14ac:dyDescent="0.2">
      <c r="A21" s="1416" t="s">
        <v>169</v>
      </c>
      <c r="B21" s="658" t="s">
        <v>286</v>
      </c>
      <c r="C21" s="659"/>
      <c r="D21" s="618">
        <v>6.4999999999999997E-3</v>
      </c>
      <c r="E21" s="619" t="s">
        <v>287</v>
      </c>
      <c r="F21" s="660"/>
      <c r="G21" s="661" t="s">
        <v>288</v>
      </c>
      <c r="H21" s="662"/>
      <c r="I21" s="663">
        <f>D21</f>
        <v>6.4999999999999997E-3</v>
      </c>
      <c r="J21" s="615">
        <f>I21</f>
        <v>6.4999999999999997E-3</v>
      </c>
    </row>
    <row r="22" spans="1:10" x14ac:dyDescent="0.2">
      <c r="A22" s="1416"/>
      <c r="B22" s="664" t="s">
        <v>289</v>
      </c>
      <c r="C22" s="665"/>
      <c r="D22" s="618">
        <v>0.03</v>
      </c>
      <c r="E22" s="619" t="s">
        <v>287</v>
      </c>
      <c r="F22" s="666"/>
      <c r="G22" s="661" t="s">
        <v>290</v>
      </c>
      <c r="H22" s="667"/>
      <c r="I22" s="663">
        <f>D22</f>
        <v>0.03</v>
      </c>
      <c r="J22" s="623">
        <f>I22</f>
        <v>0.03</v>
      </c>
    </row>
    <row r="23" spans="1:10" ht="15.75" x14ac:dyDescent="0.2">
      <c r="A23" s="1416"/>
      <c r="B23" s="668" t="s">
        <v>291</v>
      </c>
      <c r="C23" s="669" t="s">
        <v>292</v>
      </c>
      <c r="D23" s="670">
        <v>0.03</v>
      </c>
      <c r="E23" s="619"/>
      <c r="F23" s="1417" t="s">
        <v>293</v>
      </c>
      <c r="G23" s="1417"/>
      <c r="H23" s="1417"/>
      <c r="I23" s="1408">
        <f>ROUND(D23*D24,4)</f>
        <v>1.2E-2</v>
      </c>
      <c r="J23" s="1409">
        <f>I23</f>
        <v>1.2E-2</v>
      </c>
    </row>
    <row r="24" spans="1:10" ht="15" customHeight="1" x14ac:dyDescent="0.2">
      <c r="A24" s="1416"/>
      <c r="B24" s="1410" t="s">
        <v>294</v>
      </c>
      <c r="C24" s="1410"/>
      <c r="D24" s="670">
        <v>0.4</v>
      </c>
      <c r="E24" s="671" t="s">
        <v>287</v>
      </c>
      <c r="F24" s="1417"/>
      <c r="G24" s="1417"/>
      <c r="H24" s="1417"/>
      <c r="I24" s="1408"/>
      <c r="J24" s="1409" t="e">
        <f>I24*(1+#REF!)</f>
        <v>#REF!</v>
      </c>
    </row>
    <row r="25" spans="1:10" ht="15" customHeight="1" x14ac:dyDescent="0.2">
      <c r="A25" s="1416"/>
      <c r="B25" s="1411" t="s">
        <v>295</v>
      </c>
      <c r="C25" s="1411"/>
      <c r="D25" s="672">
        <f>IF('[1]Atualização de custos unitarios'!C73="Mão de obra (COM DESONERAÇÃO)",4.5%,0)</f>
        <v>4.4999999999999998E-2</v>
      </c>
      <c r="E25" s="673" t="s">
        <v>287</v>
      </c>
      <c r="F25" s="674"/>
      <c r="G25" s="675" t="s">
        <v>296</v>
      </c>
      <c r="H25" s="674"/>
      <c r="I25" s="676">
        <f>D25</f>
        <v>4.4999999999999998E-2</v>
      </c>
      <c r="J25" s="677">
        <f>I25</f>
        <v>4.4999999999999998E-2</v>
      </c>
    </row>
    <row r="26" spans="1:10" x14ac:dyDescent="0.2">
      <c r="A26" s="678"/>
      <c r="B26" s="638"/>
      <c r="C26" s="638"/>
      <c r="D26" s="638"/>
      <c r="E26" s="679" t="s">
        <v>297</v>
      </c>
      <c r="F26" s="680"/>
      <c r="G26" s="681"/>
      <c r="H26" s="682"/>
      <c r="I26" s="683">
        <f>SUM(I21:I25)</f>
        <v>9.35E-2</v>
      </c>
      <c r="J26" s="683">
        <f>J21+J22+J23+J25</f>
        <v>9.35E-2</v>
      </c>
    </row>
    <row r="27" spans="1:10" ht="10.9" customHeight="1" x14ac:dyDescent="0.2">
      <c r="A27" s="684"/>
      <c r="B27" s="452"/>
      <c r="C27" s="452"/>
      <c r="D27" s="685"/>
      <c r="E27" s="685"/>
      <c r="F27" s="93"/>
      <c r="G27" s="686"/>
      <c r="H27" s="687"/>
      <c r="I27" s="688"/>
      <c r="J27" s="689"/>
    </row>
    <row r="28" spans="1:10" x14ac:dyDescent="0.2">
      <c r="A28" s="690"/>
      <c r="B28" s="1412" t="s">
        <v>298</v>
      </c>
      <c r="C28" s="1412"/>
      <c r="D28" s="1412"/>
      <c r="E28" s="1412"/>
      <c r="F28" s="93"/>
      <c r="G28" s="686"/>
      <c r="H28" s="687"/>
      <c r="I28" s="688"/>
      <c r="J28" s="689"/>
    </row>
    <row r="29" spans="1:10" x14ac:dyDescent="0.2">
      <c r="A29" s="684"/>
      <c r="B29" s="1403" t="s">
        <v>299</v>
      </c>
      <c r="C29" s="1403"/>
      <c r="D29" s="1403"/>
      <c r="E29" s="1403"/>
      <c r="F29" s="93"/>
      <c r="G29" s="691" t="s">
        <v>300</v>
      </c>
      <c r="H29" s="687"/>
      <c r="I29" s="688"/>
      <c r="J29" s="689"/>
    </row>
    <row r="30" spans="1:10" ht="15" customHeight="1" x14ac:dyDescent="0.2">
      <c r="A30" s="684"/>
      <c r="B30" s="692" t="s">
        <v>262</v>
      </c>
      <c r="C30" s="645" t="s">
        <v>263</v>
      </c>
      <c r="D30" s="1404" t="s">
        <v>264</v>
      </c>
      <c r="E30" s="1404"/>
      <c r="F30" s="93"/>
      <c r="G30" s="693">
        <f>IF(OR(I23="",I10="",I11="",I12="",I13="",I17=""),0,IF(OR(ROUND(((1+(I10+I12+I13))*(1+I11)*(1+I17))/(1-(I26-I25))-1,4)&gt;D31,ROUND(((1+(I10+I12+I13))*(1+I11)*(1+I17))/(1-(I26-I25))-1,4)&lt;B31),"FORA DO LIMITE !",ROUND(((1+(I10+I12+I13))*(1+I11)*(1+I17))/(1-(I26-I25))-1,4)))</f>
        <v>0.1963</v>
      </c>
      <c r="H30" s="694"/>
      <c r="I30" s="695">
        <f>IF(OR(I23="",I10="",I11="",I12="",I13="",I17=""),0,IF(G30="FORA DO LIMITE !","",ROUND(((1+(I10+I12+I13))*(1+I11)*(1+I17))/(1-I26)-1,4)))</f>
        <v>0.25569999999999998</v>
      </c>
      <c r="J30" s="689"/>
    </row>
    <row r="31" spans="1:10" x14ac:dyDescent="0.2">
      <c r="A31" s="684"/>
      <c r="B31" s="696">
        <v>0.19600000000000001</v>
      </c>
      <c r="C31" s="697">
        <v>0.2097</v>
      </c>
      <c r="D31" s="1405">
        <v>0.24229999999999999</v>
      </c>
      <c r="E31" s="1405"/>
      <c r="F31" s="93"/>
      <c r="G31" s="1406"/>
      <c r="H31" s="1406"/>
      <c r="I31" s="1406"/>
      <c r="J31" s="1406"/>
    </row>
    <row r="32" spans="1:10" ht="9" customHeight="1" x14ac:dyDescent="0.2">
      <c r="A32" s="684"/>
      <c r="B32" s="698"/>
      <c r="C32" s="699"/>
      <c r="D32" s="699"/>
      <c r="E32" s="699"/>
      <c r="F32" s="93"/>
      <c r="G32" s="1406"/>
      <c r="H32" s="1406"/>
      <c r="I32" s="1406"/>
      <c r="J32" s="1406"/>
    </row>
    <row r="33" spans="1:10" ht="9" customHeight="1" x14ac:dyDescent="0.2">
      <c r="A33" s="684"/>
      <c r="B33" s="452"/>
      <c r="C33" s="452"/>
      <c r="D33" s="685"/>
      <c r="E33" s="685"/>
      <c r="F33" s="93"/>
      <c r="G33" s="700"/>
      <c r="H33" s="687"/>
      <c r="I33" s="688"/>
      <c r="J33" s="689"/>
    </row>
    <row r="34" spans="1:10" x14ac:dyDescent="0.2">
      <c r="A34" s="701"/>
      <c r="B34" s="702"/>
      <c r="C34" s="702"/>
      <c r="D34" s="703"/>
      <c r="E34" s="703"/>
      <c r="F34" s="703"/>
      <c r="G34" s="703"/>
      <c r="H34" s="704" t="str">
        <f>IF('[1]Atualização de custos unitarios'!C73="Mão de obra (COM DESONERAÇÃO)","BDI a ser adotado COM DESONERAÇÃO (%)","BDI a ser adotado SEM DESONERAÇÃO (%)")</f>
        <v>BDI a ser adotado COM DESONERAÇÃO (%)</v>
      </c>
      <c r="I34" s="1407">
        <f>IF('[1]Atualização de custos unitarios'!C73="Mão de obra (COM DESONERAÇÃO)",I30,G30)</f>
        <v>0.25569999999999998</v>
      </c>
      <c r="J34" s="1407"/>
    </row>
    <row r="35" spans="1:10" x14ac:dyDescent="0.2">
      <c r="A35" s="705"/>
      <c r="B35" s="706"/>
      <c r="C35" s="706"/>
      <c r="D35" s="706"/>
      <c r="E35" s="706"/>
      <c r="F35" s="706"/>
      <c r="G35" s="706"/>
      <c r="H35" s="706"/>
      <c r="I35" s="706"/>
      <c r="J35" s="707"/>
    </row>
    <row r="36" spans="1:10" x14ac:dyDescent="0.2">
      <c r="A36" s="705"/>
      <c r="B36" s="706"/>
      <c r="C36" s="706"/>
      <c r="D36" s="706"/>
      <c r="E36" s="706"/>
      <c r="F36" s="706"/>
      <c r="G36" s="706"/>
      <c r="H36" s="706"/>
      <c r="I36" s="706"/>
      <c r="J36" s="707"/>
    </row>
    <row r="37" spans="1:10" x14ac:dyDescent="0.2">
      <c r="A37" s="705"/>
      <c r="B37" s="706"/>
      <c r="C37" s="706"/>
      <c r="D37" s="706"/>
      <c r="E37" s="706"/>
      <c r="F37" s="706"/>
      <c r="G37" s="706"/>
      <c r="H37" s="706"/>
      <c r="I37" s="706"/>
      <c r="J37" s="707"/>
    </row>
    <row r="38" spans="1:10" x14ac:dyDescent="0.2">
      <c r="A38" s="705"/>
      <c r="B38" s="706"/>
      <c r="C38" s="706"/>
      <c r="D38" s="706"/>
      <c r="E38" s="706"/>
      <c r="F38" s="706"/>
      <c r="G38" s="706"/>
      <c r="H38" s="706"/>
      <c r="I38" s="706"/>
      <c r="J38" s="707"/>
    </row>
    <row r="39" spans="1:10" x14ac:dyDescent="0.2">
      <c r="A39" s="705"/>
      <c r="B39" s="706"/>
      <c r="C39" s="706"/>
      <c r="D39" s="706"/>
      <c r="E39" s="706"/>
      <c r="F39" s="706"/>
      <c r="G39" s="706"/>
      <c r="H39" s="706"/>
      <c r="I39" s="706"/>
      <c r="J39" s="707"/>
    </row>
    <row r="40" spans="1:10" x14ac:dyDescent="0.2">
      <c r="A40" s="705"/>
      <c r="B40" s="706"/>
      <c r="C40" s="706"/>
      <c r="D40" s="706"/>
      <c r="E40" s="706"/>
      <c r="F40" s="706"/>
      <c r="G40" s="706"/>
      <c r="H40" s="706"/>
      <c r="I40" s="706"/>
      <c r="J40" s="707"/>
    </row>
    <row r="41" spans="1:10" x14ac:dyDescent="0.2">
      <c r="A41" s="705"/>
      <c r="B41" s="706"/>
      <c r="C41" s="706"/>
      <c r="D41" s="706"/>
      <c r="E41" s="706"/>
      <c r="F41" s="706"/>
      <c r="G41" s="706"/>
      <c r="H41" s="706"/>
      <c r="I41" s="708"/>
      <c r="J41" s="707"/>
    </row>
    <row r="42" spans="1:10" x14ac:dyDescent="0.2">
      <c r="A42" s="705"/>
      <c r="B42" s="709" t="s">
        <v>301</v>
      </c>
      <c r="C42" s="706"/>
      <c r="D42" s="706"/>
      <c r="E42" s="706"/>
      <c r="F42" s="706"/>
      <c r="G42" s="706"/>
      <c r="H42" s="706"/>
      <c r="I42" s="706"/>
      <c r="J42" s="707"/>
    </row>
    <row r="43" spans="1:10" x14ac:dyDescent="0.2">
      <c r="A43" s="705"/>
      <c r="B43" s="706"/>
      <c r="C43" s="706"/>
      <c r="D43" s="706"/>
      <c r="E43" s="706"/>
      <c r="F43" s="706"/>
      <c r="G43" s="706"/>
      <c r="H43" s="706"/>
      <c r="I43" s="706"/>
      <c r="J43" s="707"/>
    </row>
    <row r="44" spans="1:10" x14ac:dyDescent="0.2">
      <c r="A44" s="705"/>
      <c r="B44" s="710" t="s">
        <v>302</v>
      </c>
      <c r="C44" s="710"/>
      <c r="D44" s="706"/>
      <c r="E44" s="706"/>
      <c r="F44" s="706"/>
      <c r="G44" s="706"/>
      <c r="H44" s="706"/>
      <c r="I44" s="706"/>
      <c r="J44" s="707"/>
    </row>
    <row r="45" spans="1:10" x14ac:dyDescent="0.2">
      <c r="A45" s="705"/>
      <c r="B45" s="710" t="s">
        <v>303</v>
      </c>
      <c r="C45" s="710"/>
      <c r="D45" s="706"/>
      <c r="E45" s="706"/>
      <c r="F45" s="706"/>
      <c r="G45" s="706"/>
      <c r="H45" s="706"/>
      <c r="I45" s="706"/>
      <c r="J45" s="707"/>
    </row>
    <row r="46" spans="1:10" x14ac:dyDescent="0.2">
      <c r="A46" s="705"/>
      <c r="B46" s="710" t="s">
        <v>304</v>
      </c>
      <c r="C46" s="710"/>
      <c r="D46" s="706"/>
      <c r="E46" s="706"/>
      <c r="F46" s="706"/>
      <c r="G46" s="706"/>
      <c r="H46" s="706"/>
      <c r="I46" s="706"/>
      <c r="J46" s="707"/>
    </row>
    <row r="47" spans="1:10" x14ac:dyDescent="0.2">
      <c r="A47" s="705"/>
      <c r="B47" s="710" t="s">
        <v>305</v>
      </c>
      <c r="C47" s="710"/>
      <c r="D47" s="706"/>
      <c r="E47" s="706"/>
      <c r="F47" s="706"/>
      <c r="G47" s="706"/>
      <c r="H47" s="706"/>
      <c r="I47" s="706"/>
      <c r="J47" s="707"/>
    </row>
    <row r="48" spans="1:10" x14ac:dyDescent="0.2">
      <c r="A48" s="108"/>
      <c r="B48" s="711" t="s">
        <v>306</v>
      </c>
      <c r="C48" s="710"/>
      <c r="D48" s="712"/>
      <c r="E48" s="713"/>
      <c r="F48" s="713"/>
      <c r="G48" s="713"/>
      <c r="H48" s="713"/>
      <c r="I48" s="713"/>
      <c r="J48" s="707"/>
    </row>
    <row r="49" spans="1:10" x14ac:dyDescent="0.2">
      <c r="A49" s="108"/>
      <c r="B49" s="710"/>
      <c r="C49" s="710"/>
      <c r="D49" s="706"/>
      <c r="E49" s="706"/>
      <c r="F49" s="706"/>
      <c r="G49" s="706"/>
      <c r="H49" s="706"/>
      <c r="I49" s="706"/>
      <c r="J49" s="706"/>
    </row>
    <row r="50" spans="1:10" x14ac:dyDescent="0.2">
      <c r="A50" s="108"/>
      <c r="B50" s="709" t="s">
        <v>307</v>
      </c>
      <c r="C50" s="714" t="s">
        <v>308</v>
      </c>
      <c r="D50" s="715"/>
      <c r="E50" s="715"/>
      <c r="F50" s="716"/>
      <c r="G50" s="716"/>
      <c r="H50" s="716"/>
      <c r="I50" s="716"/>
      <c r="J50" s="706"/>
    </row>
    <row r="51" spans="1:10" ht="15" customHeight="1" x14ac:dyDescent="0.2">
      <c r="A51" s="108"/>
      <c r="B51" s="717" t="s">
        <v>309</v>
      </c>
      <c r="C51" s="1399" t="s">
        <v>310</v>
      </c>
      <c r="D51" s="1399"/>
      <c r="E51" s="1399"/>
      <c r="F51" s="1399"/>
      <c r="G51" s="1399"/>
      <c r="H51" s="1399"/>
      <c r="I51" s="1399"/>
      <c r="J51" s="1399"/>
    </row>
    <row r="52" spans="1:10" ht="28.5" customHeight="1" x14ac:dyDescent="0.2">
      <c r="A52" s="108"/>
      <c r="B52" s="717" t="s">
        <v>311</v>
      </c>
      <c r="C52" s="1400" t="s">
        <v>312</v>
      </c>
      <c r="D52" s="1400"/>
      <c r="E52" s="1400"/>
      <c r="F52" s="1400"/>
      <c r="G52" s="1400"/>
      <c r="H52" s="1400"/>
      <c r="I52" s="1400"/>
      <c r="J52" s="1400"/>
    </row>
    <row r="53" spans="1:10" x14ac:dyDescent="0.2">
      <c r="A53" s="108"/>
      <c r="B53" s="108"/>
      <c r="C53" s="108"/>
      <c r="D53" s="108"/>
      <c r="E53" s="108"/>
      <c r="F53" s="108"/>
      <c r="G53" s="108"/>
      <c r="H53" s="108"/>
      <c r="I53" s="108"/>
      <c r="J53" s="108"/>
    </row>
    <row r="54" spans="1:10" x14ac:dyDescent="0.2">
      <c r="A54" s="108"/>
      <c r="B54" s="548"/>
      <c r="C54" s="718"/>
      <c r="D54" s="719"/>
      <c r="E54" s="719"/>
      <c r="F54" s="719"/>
      <c r="G54" s="548"/>
      <c r="H54" s="548"/>
      <c r="I54" s="548"/>
      <c r="J54" s="108"/>
    </row>
    <row r="55" spans="1:10" x14ac:dyDescent="0.2">
      <c r="A55" s="108"/>
      <c r="B55" s="548"/>
      <c r="C55" s="720" t="s">
        <v>313</v>
      </c>
      <c r="D55" s="719"/>
      <c r="E55" s="719"/>
      <c r="F55" s="719"/>
      <c r="G55" s="548"/>
      <c r="H55" s="548"/>
      <c r="I55" s="548"/>
      <c r="J55" s="108"/>
    </row>
    <row r="56" spans="1:10" ht="15.75" customHeight="1" x14ac:dyDescent="0.2">
      <c r="A56" s="108"/>
      <c r="B56" s="548"/>
      <c r="C56" s="1401" t="s">
        <v>314</v>
      </c>
      <c r="D56" s="1401"/>
      <c r="E56" s="1401"/>
      <c r="F56" s="1401"/>
      <c r="G56" s="1401"/>
      <c r="H56" s="1401"/>
      <c r="I56" s="548"/>
      <c r="J56" s="108"/>
    </row>
    <row r="57" spans="1:10" ht="24.75" customHeight="1" x14ac:dyDescent="0.2">
      <c r="A57" s="108"/>
      <c r="B57" s="548"/>
      <c r="C57" s="721" t="s">
        <v>315</v>
      </c>
      <c r="D57" s="1402" t="s">
        <v>316</v>
      </c>
      <c r="E57" s="1402"/>
      <c r="F57" s="1402"/>
      <c r="G57" s="1402"/>
      <c r="H57" s="1402"/>
      <c r="I57" s="548"/>
      <c r="J57" s="108"/>
    </row>
    <row r="58" spans="1:10" ht="15" customHeight="1" x14ac:dyDescent="0.2">
      <c r="A58" s="108"/>
      <c r="B58" s="548"/>
      <c r="C58" s="722" t="s">
        <v>317</v>
      </c>
      <c r="D58" s="1397" t="s">
        <v>318</v>
      </c>
      <c r="E58" s="1397"/>
      <c r="F58" s="1397"/>
      <c r="G58" s="1397"/>
      <c r="H58" s="1397"/>
      <c r="I58" s="548"/>
      <c r="J58" s="108"/>
    </row>
    <row r="59" spans="1:10" ht="25.5" customHeight="1" x14ac:dyDescent="0.2">
      <c r="A59" s="108"/>
      <c r="B59" s="548"/>
      <c r="C59" s="723" t="s">
        <v>319</v>
      </c>
      <c r="D59" s="1396" t="s">
        <v>320</v>
      </c>
      <c r="E59" s="1396"/>
      <c r="F59" s="1396"/>
      <c r="G59" s="1396"/>
      <c r="H59" s="1396"/>
      <c r="I59" s="548"/>
      <c r="J59" s="108"/>
    </row>
    <row r="60" spans="1:10" ht="25.5" customHeight="1" x14ac:dyDescent="0.2">
      <c r="A60" s="108"/>
      <c r="B60" s="548"/>
      <c r="C60" s="724" t="s">
        <v>321</v>
      </c>
      <c r="D60" s="1397" t="s">
        <v>322</v>
      </c>
      <c r="E60" s="1397"/>
      <c r="F60" s="1397"/>
      <c r="G60" s="1397"/>
      <c r="H60" s="1397"/>
      <c r="I60" s="548"/>
      <c r="J60" s="108"/>
    </row>
    <row r="61" spans="1:10" ht="25.5" customHeight="1" x14ac:dyDescent="0.2">
      <c r="A61" s="108"/>
      <c r="B61" s="108"/>
      <c r="C61" s="723" t="s">
        <v>323</v>
      </c>
      <c r="D61" s="1396" t="s">
        <v>324</v>
      </c>
      <c r="E61" s="1396"/>
      <c r="F61" s="1396"/>
      <c r="G61" s="1396"/>
      <c r="H61" s="1396"/>
      <c r="I61" s="108"/>
      <c r="J61" s="108"/>
    </row>
    <row r="62" spans="1:10" ht="26.25" customHeight="1" x14ac:dyDescent="0.2">
      <c r="A62" s="108"/>
      <c r="B62" s="108"/>
      <c r="C62" s="725" t="s">
        <v>325</v>
      </c>
      <c r="D62" s="1398" t="s">
        <v>326</v>
      </c>
      <c r="E62" s="1398"/>
      <c r="F62" s="1398"/>
      <c r="G62" s="1398"/>
      <c r="H62" s="1398"/>
      <c r="I62" s="108"/>
      <c r="J62" s="108"/>
    </row>
    <row r="63" spans="1:10" x14ac:dyDescent="0.2">
      <c r="A63" s="108"/>
      <c r="B63" s="108"/>
      <c r="C63" s="108"/>
      <c r="D63" s="108"/>
      <c r="E63" s="108"/>
      <c r="F63" s="108"/>
      <c r="G63" s="108"/>
      <c r="H63" s="108"/>
      <c r="I63" s="108"/>
      <c r="J63" s="108"/>
    </row>
    <row r="64" spans="1:10" x14ac:dyDescent="0.2">
      <c r="A64" s="108"/>
      <c r="B64" s="108"/>
      <c r="C64" s="108"/>
      <c r="D64" s="108"/>
      <c r="E64" s="108"/>
      <c r="F64" s="108"/>
      <c r="G64" s="108"/>
      <c r="H64" s="108"/>
      <c r="I64" s="108"/>
    </row>
  </sheetData>
  <mergeCells count="34">
    <mergeCell ref="C1:I2"/>
    <mergeCell ref="C4:I4"/>
    <mergeCell ref="C6:I6"/>
    <mergeCell ref="A8:E8"/>
    <mergeCell ref="F8:H8"/>
    <mergeCell ref="A9:B9"/>
    <mergeCell ref="C9:E9"/>
    <mergeCell ref="D10:E10"/>
    <mergeCell ref="A16:B16"/>
    <mergeCell ref="C16:D16"/>
    <mergeCell ref="D17:E17"/>
    <mergeCell ref="A20:B20"/>
    <mergeCell ref="C20:D20"/>
    <mergeCell ref="A21:A25"/>
    <mergeCell ref="F23:H24"/>
    <mergeCell ref="I23:I24"/>
    <mergeCell ref="J23:J24"/>
    <mergeCell ref="B24:C24"/>
    <mergeCell ref="B25:C25"/>
    <mergeCell ref="B28:E28"/>
    <mergeCell ref="B29:E29"/>
    <mergeCell ref="D30:E30"/>
    <mergeCell ref="D31:E31"/>
    <mergeCell ref="G31:J32"/>
    <mergeCell ref="I34:J34"/>
    <mergeCell ref="D59:H59"/>
    <mergeCell ref="D60:H60"/>
    <mergeCell ref="D61:H61"/>
    <mergeCell ref="D62:H62"/>
    <mergeCell ref="C51:J51"/>
    <mergeCell ref="C52:J52"/>
    <mergeCell ref="C56:H56"/>
    <mergeCell ref="D57:H57"/>
    <mergeCell ref="D58:H58"/>
  </mergeCells>
  <conditionalFormatting sqref="G30">
    <cfRule type="cellIs" dxfId="1" priority="2" operator="equal">
      <formula>0</formula>
    </cfRule>
    <cfRule type="cellIs" dxfId="0" priority="3" operator="equal">
      <formula>"FORA DO LIMITE !"</formula>
    </cfRule>
  </conditionalFormatting>
  <dataValidations count="2">
    <dataValidation allowBlank="1" showInputMessage="1" showErrorMessage="1" prompt="Percentual de alíquota vigente no município de execução das obras" sqref="D23" xr:uid="{00000000-0002-0000-0400-000000000000}">
      <formula1>0</formula1>
      <formula2>0</formula2>
    </dataValidation>
    <dataValidation type="decimal" allowBlank="1" showInputMessage="1" showErrorMessage="1" prompt="O valor proposto nesta célula deve estar entre o 1º Quartil e o 3º Quartil." sqref="I10:I13 I17" xr:uid="{00000000-0002-0000-0400-000001000000}">
      <formula1>F10</formula1>
      <formula2>H10</formula2>
    </dataValidation>
  </dataValidations>
  <printOptions horizontalCentered="1" verticalCentered="1"/>
  <pageMargins left="0.51180555555555496" right="0.51180555555555496" top="0.39374999999999999" bottom="0.39374999999999999" header="0.51180555555555496" footer="0.51180555555555496"/>
  <pageSetup paperSize="9" scale="90" firstPageNumber="0" orientation="landscape"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75"/>
  <sheetViews>
    <sheetView zoomScaleNormal="100" zoomScalePageLayoutView="60" workbookViewId="0"/>
  </sheetViews>
  <sheetFormatPr defaultRowHeight="15" x14ac:dyDescent="0.2"/>
  <cols>
    <col min="1" max="2" width="7.26171875" style="364" customWidth="1"/>
    <col min="3" max="3" width="52.73046875" style="364" customWidth="1"/>
    <col min="4" max="5" width="9.28125" style="364" customWidth="1"/>
    <col min="6" max="6" width="9.68359375" style="364" customWidth="1"/>
    <col min="7" max="7" width="16.0078125" style="364" customWidth="1"/>
    <col min="8" max="8" width="9.28125" style="364" customWidth="1"/>
    <col min="9" max="9" width="9.14453125" style="364" customWidth="1"/>
    <col min="10" max="10" width="9.28125" style="364" customWidth="1"/>
    <col min="11" max="11" width="13.71875" style="364" customWidth="1"/>
    <col min="12" max="12" width="10.0859375" style="364" customWidth="1"/>
    <col min="13" max="15" width="9.68359375" style="364" customWidth="1"/>
    <col min="16" max="18" width="9.28125" style="364" customWidth="1"/>
    <col min="19" max="20" width="10.76171875" style="364" customWidth="1"/>
    <col min="21" max="1025" width="8.7421875" customWidth="1"/>
  </cols>
  <sheetData>
    <row r="1" spans="1:20" x14ac:dyDescent="0.2">
      <c r="A1" s="548"/>
      <c r="B1" s="548"/>
      <c r="C1" s="548"/>
      <c r="D1" s="1427" t="str">
        <f>'PLANILHA ORÇAMENTÁRIA'!E1</f>
        <v>Prefeitura Municipal de Santarém Novo</v>
      </c>
      <c r="E1" s="1427"/>
      <c r="F1" s="1427"/>
      <c r="G1" s="1427"/>
      <c r="H1" s="1427"/>
      <c r="I1" s="1427"/>
      <c r="J1" s="1427"/>
      <c r="K1" s="1427"/>
      <c r="L1" s="1427"/>
      <c r="M1" s="1427"/>
      <c r="N1" s="1427"/>
      <c r="O1" s="595"/>
      <c r="P1" s="595"/>
      <c r="Q1" s="595"/>
      <c r="R1" s="595"/>
      <c r="S1" s="595"/>
      <c r="T1" s="595"/>
    </row>
    <row r="2" spans="1:20" x14ac:dyDescent="0.2">
      <c r="A2" s="548"/>
      <c r="B2" s="548"/>
      <c r="C2" s="548"/>
      <c r="D2" s="595"/>
      <c r="E2" s="595"/>
      <c r="F2" s="595"/>
      <c r="G2" s="595"/>
      <c r="H2" s="595"/>
      <c r="I2" s="595"/>
      <c r="J2" s="595"/>
      <c r="K2" s="595"/>
      <c r="L2" s="595"/>
      <c r="M2" s="595"/>
      <c r="N2" s="595"/>
      <c r="O2" s="595"/>
      <c r="P2" s="595"/>
      <c r="Q2" s="595"/>
      <c r="R2" s="595"/>
      <c r="S2" s="595"/>
      <c r="T2" s="595"/>
    </row>
    <row r="3" spans="1:20" x14ac:dyDescent="0.2">
      <c r="A3" s="548"/>
      <c r="B3" s="548"/>
      <c r="C3" s="548"/>
      <c r="D3" s="595"/>
      <c r="E3" s="595"/>
      <c r="F3" s="595"/>
      <c r="G3" s="595"/>
      <c r="H3" s="595"/>
      <c r="I3" s="595"/>
      <c r="J3" s="595"/>
      <c r="K3" s="595"/>
      <c r="L3" s="595"/>
      <c r="M3" s="595"/>
      <c r="N3" s="595"/>
      <c r="O3" s="595"/>
      <c r="P3" s="595"/>
      <c r="Q3" s="595"/>
      <c r="R3" s="595"/>
      <c r="S3" s="595"/>
      <c r="T3" s="595"/>
    </row>
    <row r="4" spans="1:20" x14ac:dyDescent="0.2">
      <c r="A4" s="548"/>
      <c r="B4" s="548"/>
      <c r="C4" s="1428" t="s">
        <v>327</v>
      </c>
      <c r="D4" s="1428"/>
      <c r="E4" s="1428"/>
      <c r="F4" s="1428"/>
      <c r="G4" s="1428"/>
      <c r="H4" s="1428"/>
      <c r="I4" s="1428"/>
      <c r="J4" s="1428"/>
      <c r="K4" s="1428"/>
      <c r="L4" s="1428"/>
      <c r="M4" s="1428"/>
      <c r="N4" s="1428"/>
      <c r="O4" s="1428"/>
      <c r="P4" s="1428"/>
      <c r="Q4" s="1428"/>
      <c r="R4" s="1428"/>
      <c r="S4" s="1428"/>
      <c r="T4" s="1428"/>
    </row>
    <row r="5" spans="1:20" ht="15.75" customHeight="1" x14ac:dyDescent="0.2">
      <c r="A5" s="726"/>
      <c r="B5" s="727"/>
      <c r="C5" s="728" t="s">
        <v>328</v>
      </c>
      <c r="D5" s="729">
        <f>IF('[1]Atualização de custos unitarios'!E124&gt;'[1]Atualização de custos unitarios'!E123,'[1]Atualização de custos unitarios'!E124,'[1]Atualização de custos unitarios'!E123)</f>
        <v>3.2332999999999998</v>
      </c>
      <c r="E5" s="730"/>
      <c r="F5" s="731"/>
      <c r="G5" s="728" t="s">
        <v>329</v>
      </c>
      <c r="H5" s="732">
        <f>'[1]Atualização de custos unitarios'!E122</f>
        <v>4.0591999999999997</v>
      </c>
      <c r="I5" s="730"/>
      <c r="J5" s="731"/>
      <c r="K5" s="728" t="s">
        <v>330</v>
      </c>
      <c r="L5" s="733">
        <f>'[1]Atualização de custos unitarios'!E135</f>
        <v>0.92110000000000003</v>
      </c>
      <c r="M5" s="734"/>
      <c r="N5" s="735"/>
      <c r="O5" s="1429" t="s">
        <v>331</v>
      </c>
      <c r="P5" s="1429"/>
      <c r="Q5" s="1429"/>
      <c r="R5" s="1429"/>
      <c r="S5" s="1429"/>
      <c r="T5" s="1429"/>
    </row>
    <row r="6" spans="1:20" x14ac:dyDescent="0.2">
      <c r="A6" s="736"/>
      <c r="B6" s="737"/>
      <c r="C6" s="738" t="s">
        <v>332</v>
      </c>
      <c r="D6" s="739">
        <v>2.5000000000000001E-2</v>
      </c>
      <c r="E6" s="740"/>
      <c r="F6" s="741"/>
      <c r="G6" s="737"/>
      <c r="I6" s="738" t="s">
        <v>333</v>
      </c>
      <c r="J6" s="739">
        <v>0.06</v>
      </c>
      <c r="K6" s="638"/>
      <c r="L6" s="742"/>
      <c r="M6" s="743"/>
      <c r="N6" s="744"/>
      <c r="O6" s="1429"/>
      <c r="P6" s="1429"/>
      <c r="Q6" s="1429"/>
      <c r="R6" s="1429"/>
      <c r="S6" s="1429"/>
      <c r="T6" s="1429"/>
    </row>
    <row r="7" spans="1:20" ht="15.75" customHeight="1" x14ac:dyDescent="0.2">
      <c r="A7" s="1430" t="s">
        <v>334</v>
      </c>
      <c r="B7" s="1430"/>
      <c r="C7" s="1431" t="s">
        <v>335</v>
      </c>
      <c r="D7" s="1432" t="s">
        <v>336</v>
      </c>
      <c r="E7" s="1432" t="s">
        <v>337</v>
      </c>
      <c r="F7" s="1432" t="s">
        <v>338</v>
      </c>
      <c r="G7" s="1432" t="s">
        <v>339</v>
      </c>
      <c r="H7" s="1432" t="s">
        <v>340</v>
      </c>
      <c r="I7" s="1432" t="s">
        <v>341</v>
      </c>
      <c r="J7" s="1432" t="s">
        <v>342</v>
      </c>
      <c r="K7" s="1432" t="s">
        <v>343</v>
      </c>
      <c r="L7" s="1432"/>
      <c r="M7" s="1433" t="s">
        <v>344</v>
      </c>
      <c r="N7" s="1433"/>
      <c r="O7" s="1433"/>
      <c r="P7" s="1434" t="s">
        <v>345</v>
      </c>
      <c r="Q7" s="1435" t="s">
        <v>346</v>
      </c>
      <c r="R7" s="1435"/>
      <c r="S7" s="1426" t="s">
        <v>347</v>
      </c>
      <c r="T7" s="1426"/>
    </row>
    <row r="8" spans="1:20" ht="46.5" x14ac:dyDescent="0.2">
      <c r="A8" s="1430"/>
      <c r="B8" s="1430"/>
      <c r="C8" s="1431"/>
      <c r="D8" s="1432"/>
      <c r="E8" s="1432"/>
      <c r="F8" s="1432"/>
      <c r="G8" s="1432"/>
      <c r="H8" s="1432"/>
      <c r="I8" s="1432"/>
      <c r="J8" s="1432"/>
      <c r="K8" s="1432"/>
      <c r="L8" s="1432"/>
      <c r="M8" s="746" t="s">
        <v>348</v>
      </c>
      <c r="N8" s="746" t="s">
        <v>349</v>
      </c>
      <c r="O8" s="746" t="s">
        <v>350</v>
      </c>
      <c r="P8" s="1434"/>
      <c r="Q8" s="747" t="s">
        <v>351</v>
      </c>
      <c r="R8" s="748" t="s">
        <v>352</v>
      </c>
      <c r="S8" s="745" t="s">
        <v>353</v>
      </c>
      <c r="T8" s="749" t="s">
        <v>354</v>
      </c>
    </row>
    <row r="9" spans="1:20" x14ac:dyDescent="0.2">
      <c r="A9" s="750"/>
      <c r="B9" s="751"/>
      <c r="C9" s="752"/>
      <c r="D9" s="751"/>
      <c r="E9" s="751"/>
      <c r="F9" s="751"/>
      <c r="G9" s="751"/>
      <c r="H9" s="751"/>
      <c r="I9" s="751"/>
      <c r="J9" s="751"/>
      <c r="K9" s="751"/>
      <c r="L9" s="751"/>
      <c r="M9" s="751"/>
      <c r="N9" s="751"/>
      <c r="O9" s="751"/>
      <c r="P9" s="751"/>
      <c r="Q9" s="751"/>
      <c r="R9" s="751"/>
      <c r="S9" s="751"/>
      <c r="T9" s="753"/>
    </row>
    <row r="10" spans="1:20" ht="21" x14ac:dyDescent="0.2">
      <c r="A10" s="754" t="str">
        <f>'[1]Atualização de custos unitarios'!A12</f>
        <v>DNIT –</v>
      </c>
      <c r="B10" s="755" t="str">
        <f>'[1]Atualização de custos unitarios'!B12</f>
        <v>E9010</v>
      </c>
      <c r="C10" s="756" t="str">
        <f>'[1]Atualização de custos unitarios'!C12</f>
        <v>Balança plataforma digital com mesa de 75 x 75 cm e capacidade de 500 kg (BKH - 500 Advanced - Balmak)</v>
      </c>
      <c r="D10" s="757"/>
      <c r="E10" s="758">
        <v>3</v>
      </c>
      <c r="F10" s="759">
        <v>2000</v>
      </c>
      <c r="G10" s="760">
        <f>'[1]Atualização de custos unitarios'!E12</f>
        <v>4620.277</v>
      </c>
      <c r="H10" s="761">
        <v>0.1</v>
      </c>
      <c r="I10" s="762" t="s">
        <v>108</v>
      </c>
      <c r="J10" s="762">
        <v>0.5</v>
      </c>
      <c r="K10" s="763"/>
      <c r="L10" s="764"/>
      <c r="M10" s="765">
        <f t="shared" ref="M10:M17" si="0">ROUND((G10*(1-H10))/(E10*F10),4)</f>
        <v>0.69299999999999995</v>
      </c>
      <c r="N10" s="766">
        <f t="shared" ref="N10:N17" si="1">ROUND((G10*(E10+1)*$J$6)/(2*E10*F10),4)</f>
        <v>9.2399999999999996E-2</v>
      </c>
      <c r="O10" s="757"/>
      <c r="P10" s="766">
        <f t="shared" ref="P10:P17" si="2">ROUND((G10*J10)/(E10*F10),4)</f>
        <v>0.38500000000000001</v>
      </c>
      <c r="Q10" s="763"/>
      <c r="R10" s="764"/>
      <c r="S10" s="760">
        <f t="shared" ref="S10:S17" si="3">ROUND(M10+N10+O10+P10+Q10+R10,4)</f>
        <v>1.1704000000000001</v>
      </c>
      <c r="T10" s="767">
        <f t="shared" ref="T10:T17" si="4">ROUND(M10+N10+O10+R10,4)</f>
        <v>0.78539999999999999</v>
      </c>
    </row>
    <row r="11" spans="1:20" x14ac:dyDescent="0.2">
      <c r="A11" s="768" t="str">
        <f>'[1]Atualização de custos unitarios'!A13</f>
        <v>DNIT –</v>
      </c>
      <c r="B11" s="769" t="str">
        <f>'[1]Atualização de custos unitarios'!B13</f>
        <v>E9064</v>
      </c>
      <c r="C11" s="756" t="str">
        <f>'[1]Atualização de custos unitarios'!C13</f>
        <v>Transportador manual gerica com capacidade de 180 l</v>
      </c>
      <c r="D11" s="770"/>
      <c r="E11" s="771">
        <v>1</v>
      </c>
      <c r="F11" s="772">
        <v>1000</v>
      </c>
      <c r="G11" s="773">
        <f>'[1]Atualização de custos unitarios'!E13</f>
        <v>571.71929999999998</v>
      </c>
      <c r="H11" s="774"/>
      <c r="I11" s="775"/>
      <c r="J11" s="776">
        <v>0.5</v>
      </c>
      <c r="K11" s="777"/>
      <c r="L11" s="778"/>
      <c r="M11" s="765">
        <f t="shared" si="0"/>
        <v>0.57169999999999999</v>
      </c>
      <c r="N11" s="766">
        <f t="shared" si="1"/>
        <v>3.4299999999999997E-2</v>
      </c>
      <c r="O11" s="779"/>
      <c r="P11" s="766">
        <f t="shared" si="2"/>
        <v>0.28589999999999999</v>
      </c>
      <c r="Q11" s="777"/>
      <c r="R11" s="778"/>
      <c r="S11" s="760">
        <f t="shared" si="3"/>
        <v>0.89190000000000003</v>
      </c>
      <c r="T11" s="767">
        <f t="shared" si="4"/>
        <v>0.60599999999999998</v>
      </c>
    </row>
    <row r="12" spans="1:20" x14ac:dyDescent="0.2">
      <c r="A12" s="768" t="str">
        <f>'[1]Atualização de custos unitarios'!A14</f>
        <v>DNIT –</v>
      </c>
      <c r="B12" s="769" t="str">
        <f>'[1]Atualização de custos unitarios'!B14</f>
        <v>E9066</v>
      </c>
      <c r="C12" s="756" t="str">
        <f>'[1]Atualização de custos unitarios'!C14</f>
        <v>Grupo gerador - 13 / 14 kVA</v>
      </c>
      <c r="D12" s="780">
        <v>11</v>
      </c>
      <c r="E12" s="780">
        <v>7</v>
      </c>
      <c r="F12" s="781">
        <v>2000</v>
      </c>
      <c r="G12" s="782">
        <f>'[1]Atualização de custos unitarios'!E14</f>
        <v>37065.890200000002</v>
      </c>
      <c r="H12" s="783">
        <v>0.3</v>
      </c>
      <c r="I12" s="784" t="s">
        <v>355</v>
      </c>
      <c r="J12" s="784">
        <v>0.5</v>
      </c>
      <c r="K12" s="777"/>
      <c r="L12" s="778"/>
      <c r="M12" s="765">
        <f t="shared" si="0"/>
        <v>1.8532999999999999</v>
      </c>
      <c r="N12" s="766">
        <f t="shared" si="1"/>
        <v>0.63539999999999996</v>
      </c>
      <c r="O12" s="785"/>
      <c r="P12" s="766">
        <f t="shared" si="2"/>
        <v>1.3238000000000001</v>
      </c>
      <c r="Q12" s="766">
        <f>ROUND(0.18*D12*$D$5,4)</f>
        <v>6.4019000000000004</v>
      </c>
      <c r="R12" s="785"/>
      <c r="S12" s="760">
        <f t="shared" si="3"/>
        <v>10.214399999999999</v>
      </c>
      <c r="T12" s="767">
        <f t="shared" si="4"/>
        <v>2.4887000000000001</v>
      </c>
    </row>
    <row r="13" spans="1:20" x14ac:dyDescent="0.2">
      <c r="A13" s="768" t="str">
        <f>'[1]Atualização de custos unitarios'!A15</f>
        <v>DNIT –</v>
      </c>
      <c r="B13" s="769" t="str">
        <f>'[1]Atualização de custos unitarios'!B15</f>
        <v>E9069</v>
      </c>
      <c r="C13" s="756" t="str">
        <f>'[1]Atualização de custos unitarios'!C15</f>
        <v>Vibrador de imersão para concreto - 4,1 kW (D = 35 mm - Menegotti)</v>
      </c>
      <c r="D13" s="771">
        <v>4.0999999999999996</v>
      </c>
      <c r="E13" s="771">
        <v>5</v>
      </c>
      <c r="F13" s="772">
        <v>1000</v>
      </c>
      <c r="G13" s="773">
        <f>'[1]Atualização de custos unitarios'!E15</f>
        <v>2692.9009000000001</v>
      </c>
      <c r="H13" s="786">
        <v>0.2</v>
      </c>
      <c r="I13" s="776" t="s">
        <v>356</v>
      </c>
      <c r="J13" s="776">
        <v>0.5</v>
      </c>
      <c r="K13" s="777"/>
      <c r="L13" s="778"/>
      <c r="M13" s="765">
        <f t="shared" si="0"/>
        <v>0.43090000000000001</v>
      </c>
      <c r="N13" s="766">
        <f t="shared" si="1"/>
        <v>9.69E-2</v>
      </c>
      <c r="O13" s="779"/>
      <c r="P13" s="766">
        <f t="shared" si="2"/>
        <v>0.26929999999999998</v>
      </c>
      <c r="Q13" s="773">
        <f>ROUND(0.2*D13*$H$5,4)</f>
        <v>3.3285</v>
      </c>
      <c r="R13" s="785"/>
      <c r="S13" s="760">
        <f t="shared" si="3"/>
        <v>4.1256000000000004</v>
      </c>
      <c r="T13" s="767">
        <f t="shared" si="4"/>
        <v>0.52780000000000005</v>
      </c>
    </row>
    <row r="14" spans="1:20" x14ac:dyDescent="0.2">
      <c r="A14" s="768" t="str">
        <f>'[1]Atualização de custos unitarios'!A16</f>
        <v>DNIT –</v>
      </c>
      <c r="B14" s="769" t="str">
        <f>'[1]Atualização de custos unitarios'!B16</f>
        <v>E9071</v>
      </c>
      <c r="C14" s="756" t="str">
        <f>'[1]Atualização de custos unitarios'!C16</f>
        <v>Transportador manual carrinho de mão com capacidade de 80 l</v>
      </c>
      <c r="D14" s="787"/>
      <c r="E14" s="771">
        <v>1</v>
      </c>
      <c r="F14" s="772">
        <v>1000</v>
      </c>
      <c r="G14" s="773">
        <f>'[1]Atualização de custos unitarios'!E16</f>
        <v>223.76669999999999</v>
      </c>
      <c r="H14" s="774"/>
      <c r="I14" s="775"/>
      <c r="J14" s="776">
        <v>0.5</v>
      </c>
      <c r="K14" s="788"/>
      <c r="L14" s="789"/>
      <c r="M14" s="765">
        <f t="shared" si="0"/>
        <v>0.2238</v>
      </c>
      <c r="N14" s="766">
        <f t="shared" si="1"/>
        <v>1.34E-2</v>
      </c>
      <c r="O14" s="779"/>
      <c r="P14" s="766">
        <f t="shared" si="2"/>
        <v>0.1119</v>
      </c>
      <c r="Q14" s="763"/>
      <c r="R14" s="789"/>
      <c r="S14" s="760">
        <f t="shared" si="3"/>
        <v>0.34910000000000002</v>
      </c>
      <c r="T14" s="767">
        <f t="shared" si="4"/>
        <v>0.23719999999999999</v>
      </c>
    </row>
    <row r="15" spans="1:20" ht="30" x14ac:dyDescent="0.2">
      <c r="A15" s="768" t="str">
        <f>'[1]Atualização de custos unitarios'!A17</f>
        <v>DNIT –</v>
      </c>
      <c r="B15" s="769" t="str">
        <f>'[1]Atualização de custos unitarios'!B17</f>
        <v>E9076</v>
      </c>
      <c r="C15" s="756" t="str">
        <f>'[1]Atualização de custos unitarios'!C17</f>
        <v>Equipamento de pintura com cabine de 7,00 kW e estufa de 80.000 kCal para pintura eletrostática</v>
      </c>
      <c r="D15" s="771">
        <v>7</v>
      </c>
      <c r="E15" s="771">
        <v>7</v>
      </c>
      <c r="F15" s="772">
        <v>2000</v>
      </c>
      <c r="G15" s="773">
        <f>'[1]Atualização de custos unitarios'!E17</f>
        <v>126689.5778</v>
      </c>
      <c r="H15" s="786">
        <v>0.1</v>
      </c>
      <c r="I15" s="776" t="s">
        <v>108</v>
      </c>
      <c r="J15" s="776">
        <v>0.5</v>
      </c>
      <c r="K15" s="790" t="str">
        <f>CONCATENATE('[1]Atualização de custos unitarios'!B87," - ",'[1]Atualização de custos unitarios'!C87)</f>
        <v>P9843 - Operador de equipamento leve</v>
      </c>
      <c r="L15" s="791">
        <f>'[1]Atualização de custos unitarios'!E87</f>
        <v>19.903300000000002</v>
      </c>
      <c r="M15" s="765">
        <f t="shared" si="0"/>
        <v>8.1442999999999994</v>
      </c>
      <c r="N15" s="766">
        <f t="shared" si="1"/>
        <v>2.1718000000000002</v>
      </c>
      <c r="O15" s="779"/>
      <c r="P15" s="766">
        <f t="shared" si="2"/>
        <v>4.5246000000000004</v>
      </c>
      <c r="Q15" s="785"/>
      <c r="R15" s="773">
        <f>L15</f>
        <v>19.903300000000002</v>
      </c>
      <c r="S15" s="760">
        <f t="shared" si="3"/>
        <v>34.744</v>
      </c>
      <c r="T15" s="767">
        <f t="shared" si="4"/>
        <v>30.2194</v>
      </c>
    </row>
    <row r="16" spans="1:20" ht="30" x14ac:dyDescent="0.2">
      <c r="A16" s="768" t="str">
        <f>'[1]Atualização de custos unitarios'!A18</f>
        <v>DNIT –</v>
      </c>
      <c r="B16" s="769" t="str">
        <f>'[1]Atualização de custos unitarios'!B18</f>
        <v>E9502</v>
      </c>
      <c r="C16" s="756" t="str">
        <f>'[1]Atualização de custos unitarios'!C18</f>
        <v>Bate-estaca de gravidade para 3,5 a 4,0 t - 119 Kw</v>
      </c>
      <c r="D16" s="771">
        <v>119</v>
      </c>
      <c r="E16" s="771">
        <v>7</v>
      </c>
      <c r="F16" s="772">
        <v>2000</v>
      </c>
      <c r="G16" s="773">
        <f>'[1]Atualização de custos unitarios'!E18</f>
        <v>961473.99459999998</v>
      </c>
      <c r="H16" s="786">
        <v>0.2</v>
      </c>
      <c r="I16" s="776" t="s">
        <v>355</v>
      </c>
      <c r="J16" s="776">
        <v>0.6</v>
      </c>
      <c r="K16" s="790" t="str">
        <f>CONCATENATE('[1]Atualização de custos unitarios'!B88," - ",'[1]Atualização de custos unitarios'!C88)</f>
        <v>P9845 - Operador de equipamento pesado</v>
      </c>
      <c r="L16" s="791">
        <f>'[1]Atualização de custos unitarios'!E88</f>
        <v>26.764600000000002</v>
      </c>
      <c r="M16" s="765">
        <f t="shared" si="0"/>
        <v>54.941400000000002</v>
      </c>
      <c r="N16" s="766">
        <f t="shared" si="1"/>
        <v>16.482399999999998</v>
      </c>
      <c r="O16" s="779"/>
      <c r="P16" s="766">
        <f t="shared" si="2"/>
        <v>41.206000000000003</v>
      </c>
      <c r="Q16" s="766">
        <f>ROUND(0.18*D16*$D$5,4)</f>
        <v>69.257300000000001</v>
      </c>
      <c r="R16" s="773">
        <f>L16</f>
        <v>26.764600000000002</v>
      </c>
      <c r="S16" s="760">
        <f t="shared" si="3"/>
        <v>208.65170000000001</v>
      </c>
      <c r="T16" s="767">
        <f t="shared" si="4"/>
        <v>98.188400000000001</v>
      </c>
    </row>
    <row r="17" spans="1:20" x14ac:dyDescent="0.2">
      <c r="A17" s="768" t="str">
        <f>'[1]Atualização de custos unitarios'!A19</f>
        <v>DNIT –</v>
      </c>
      <c r="B17" s="769" t="str">
        <f>'[1]Atualização de custos unitarios'!B19</f>
        <v>E9507</v>
      </c>
      <c r="C17" s="756" t="str">
        <f>'[1]Atualização de custos unitarios'!C19</f>
        <v>Computador, plotter de recorte e software</v>
      </c>
      <c r="D17" s="771">
        <v>1</v>
      </c>
      <c r="E17" s="780">
        <v>3</v>
      </c>
      <c r="F17" s="781">
        <v>2000</v>
      </c>
      <c r="G17" s="782">
        <f>'[1]Atualização de custos unitarios'!E19</f>
        <v>36457.966399999998</v>
      </c>
      <c r="H17" s="786">
        <v>0.1</v>
      </c>
      <c r="I17" s="776" t="s">
        <v>108</v>
      </c>
      <c r="J17" s="776">
        <v>0.6</v>
      </c>
      <c r="K17" s="763"/>
      <c r="L17" s="764"/>
      <c r="M17" s="765">
        <f t="shared" si="0"/>
        <v>5.4687000000000001</v>
      </c>
      <c r="N17" s="766">
        <f t="shared" si="1"/>
        <v>0.72919999999999996</v>
      </c>
      <c r="O17" s="779"/>
      <c r="P17" s="766">
        <f t="shared" si="2"/>
        <v>3.6457999999999999</v>
      </c>
      <c r="Q17" s="792"/>
      <c r="R17" s="764"/>
      <c r="S17" s="760">
        <f t="shared" si="3"/>
        <v>9.8437000000000001</v>
      </c>
      <c r="T17" s="767">
        <f t="shared" si="4"/>
        <v>6.1978999999999997</v>
      </c>
    </row>
    <row r="18" spans="1:20" ht="21" x14ac:dyDescent="0.2">
      <c r="A18" s="1423" t="str">
        <f>'[1]Atualização de custos unitarios'!A20</f>
        <v>DNIT –</v>
      </c>
      <c r="B18" s="793" t="str">
        <f>'[1]Atualização de custos unitarios'!B20</f>
        <v>E9508</v>
      </c>
      <c r="C18" s="756" t="str">
        <f>'[1]Atualização de custos unitarios'!C20</f>
        <v>Caminhão carroceria com capacidade de 9 t - 136 kW (Atego 1419 - Mercedes-Benz)</v>
      </c>
      <c r="D18" s="794"/>
      <c r="E18" s="795"/>
      <c r="F18" s="795"/>
      <c r="G18" s="796"/>
      <c r="H18" s="797"/>
      <c r="I18" s="798"/>
      <c r="J18" s="798"/>
      <c r="K18" s="799"/>
      <c r="L18" s="800"/>
      <c r="M18" s="796"/>
      <c r="N18" s="796"/>
      <c r="O18" s="801"/>
      <c r="P18" s="796"/>
      <c r="Q18" s="800"/>
      <c r="R18" s="789"/>
      <c r="S18" s="782">
        <f>ROUND(S19+S20,4)</f>
        <v>159.31229999999999</v>
      </c>
      <c r="T18" s="767">
        <f>ROUND(T19+T20,4)</f>
        <v>52.926499999999997</v>
      </c>
    </row>
    <row r="19" spans="1:20" ht="21" x14ac:dyDescent="0.2">
      <c r="A19" s="1423"/>
      <c r="B19" s="793" t="str">
        <f>'[1]Atualização de custos unitarios'!B21</f>
        <v>A9309</v>
      </c>
      <c r="C19" s="756" t="str">
        <f>'[1]Atualização de custos unitarios'!C21</f>
        <v>Caminhão plataforma 4 x 2, PBT 17.100 kg e distância entre eixos 4,8 m - 136 kW - Motorista de caminhão</v>
      </c>
      <c r="D19" s="780">
        <v>136</v>
      </c>
      <c r="E19" s="780">
        <v>7</v>
      </c>
      <c r="F19" s="781">
        <v>2000</v>
      </c>
      <c r="G19" s="782">
        <f>'[1]Atualização de custos unitarios'!E21</f>
        <v>402510.05359999998</v>
      </c>
      <c r="H19" s="783">
        <v>0.4</v>
      </c>
      <c r="I19" s="784" t="s">
        <v>355</v>
      </c>
      <c r="J19" s="784">
        <v>0.9</v>
      </c>
      <c r="K19" s="790" t="str">
        <f>CONCATENATE('[1]Atualização de custos unitarios'!B91," - ",'[1]Atualização de custos unitarios'!C91)</f>
        <v>P9866 - Motorista de caminhão</v>
      </c>
      <c r="L19" s="791">
        <f>'[1]Atualização de custos unitarios'!E91</f>
        <v>24.1953</v>
      </c>
      <c r="M19" s="765">
        <f t="shared" ref="M19:M38" si="5">ROUND((G19*(1-H19))/(E19*F19),4)</f>
        <v>17.250399999999999</v>
      </c>
      <c r="N19" s="766">
        <f t="shared" ref="N19:N38" si="6">ROUND((G19*(E19+1)*$J$6)/(2*E19*F19),4)</f>
        <v>6.9001999999999999</v>
      </c>
      <c r="O19" s="802">
        <f>ROUND(((E19+1)*(G19*$D$6))/(2*E19*F19),4)</f>
        <v>2.8751000000000002</v>
      </c>
      <c r="P19" s="766">
        <f t="shared" ref="P19:P38" si="7">ROUND((G19*J19)/(E19*F19),4)</f>
        <v>25.875599999999999</v>
      </c>
      <c r="Q19" s="766">
        <f>ROUND(0.18*D19*$D$5,4)</f>
        <v>79.151200000000003</v>
      </c>
      <c r="R19" s="782">
        <f>L19</f>
        <v>24.1953</v>
      </c>
      <c r="S19" s="760">
        <f t="shared" ref="S19:S38" si="8">ROUND(M19+N19+O19+P19+Q19+R19,4)</f>
        <v>156.24780000000001</v>
      </c>
      <c r="T19" s="767">
        <f t="shared" ref="T19:T38" si="9">ROUND(M19+N19+O19+R19,4)</f>
        <v>51.220999999999997</v>
      </c>
    </row>
    <row r="20" spans="1:20" x14ac:dyDescent="0.2">
      <c r="A20" s="1423"/>
      <c r="B20" s="793" t="str">
        <f>'[1]Atualização de custos unitarios'!B22</f>
        <v>A9350</v>
      </c>
      <c r="C20" s="756" t="str">
        <f>'[1]Atualização de custos unitarios'!C22</f>
        <v>Carroceria de madeira com capacidade de 9 t</v>
      </c>
      <c r="D20" s="787"/>
      <c r="E20" s="780">
        <v>5.8</v>
      </c>
      <c r="F20" s="781">
        <v>2000</v>
      </c>
      <c r="G20" s="782">
        <f>'[1]Atualização de custos unitarios'!E22</f>
        <v>19705.489600000001</v>
      </c>
      <c r="H20" s="783">
        <v>0.2</v>
      </c>
      <c r="I20" s="787"/>
      <c r="J20" s="784">
        <v>0.8</v>
      </c>
      <c r="K20" s="788"/>
      <c r="L20" s="789"/>
      <c r="M20" s="765">
        <f t="shared" si="5"/>
        <v>1.359</v>
      </c>
      <c r="N20" s="766">
        <f t="shared" si="6"/>
        <v>0.34649999999999997</v>
      </c>
      <c r="O20" s="785"/>
      <c r="P20" s="766">
        <f t="shared" si="7"/>
        <v>1.359</v>
      </c>
      <c r="Q20" s="774"/>
      <c r="R20" s="775"/>
      <c r="S20" s="760">
        <f t="shared" si="8"/>
        <v>3.0644999999999998</v>
      </c>
      <c r="T20" s="767">
        <f t="shared" si="9"/>
        <v>1.7055</v>
      </c>
    </row>
    <row r="21" spans="1:20" ht="30" x14ac:dyDescent="0.2">
      <c r="A21" s="768" t="str">
        <f>'[1]Atualização de custos unitarios'!A23</f>
        <v>DNIT –</v>
      </c>
      <c r="B21" s="769" t="str">
        <f>'[1]Atualização de custos unitarios'!B23</f>
        <v>E9511</v>
      </c>
      <c r="C21" s="756" t="str">
        <f>'[1]Atualização de custos unitarios'!C23</f>
        <v>Carregadeira de pneus com capacidade de 3,30 m³ - 213 kW (950H - Caterpillar)</v>
      </c>
      <c r="D21" s="771">
        <v>213</v>
      </c>
      <c r="E21" s="771">
        <v>5</v>
      </c>
      <c r="F21" s="772">
        <v>2000</v>
      </c>
      <c r="G21" s="773">
        <f>'[1]Atualização de custos unitarios'!E23</f>
        <v>1035915.911</v>
      </c>
      <c r="H21" s="786">
        <v>0.3</v>
      </c>
      <c r="I21" s="776" t="s">
        <v>355</v>
      </c>
      <c r="J21" s="776">
        <v>0.7</v>
      </c>
      <c r="K21" s="790" t="str">
        <f>CONCATENATE('[1]Atualização de custos unitarios'!B88," - ",'[1]Atualização de custos unitarios'!C88)</f>
        <v>P9845 - Operador de equipamento pesado</v>
      </c>
      <c r="L21" s="791">
        <f>'[1]Atualização de custos unitarios'!E88</f>
        <v>26.764600000000002</v>
      </c>
      <c r="M21" s="765">
        <f t="shared" si="5"/>
        <v>72.514099999999999</v>
      </c>
      <c r="N21" s="766">
        <f t="shared" si="6"/>
        <v>18.6465</v>
      </c>
      <c r="O21" s="779"/>
      <c r="P21" s="766">
        <f t="shared" si="7"/>
        <v>72.514099999999999</v>
      </c>
      <c r="Q21" s="766">
        <f>ROUND(0.18*D21*$D$5,4)</f>
        <v>123.96469999999999</v>
      </c>
      <c r="R21" s="782">
        <f>L21</f>
        <v>26.764600000000002</v>
      </c>
      <c r="S21" s="760">
        <f t="shared" si="8"/>
        <v>314.404</v>
      </c>
      <c r="T21" s="767">
        <f t="shared" si="9"/>
        <v>117.9252</v>
      </c>
    </row>
    <row r="22" spans="1:20" ht="30" x14ac:dyDescent="0.2">
      <c r="A22" s="768" t="str">
        <f>'[1]Atualização de custos unitarios'!A24</f>
        <v>DNIT –</v>
      </c>
      <c r="B22" s="769" t="str">
        <f>'[1]Atualização de custos unitarios'!B24</f>
        <v>E9515</v>
      </c>
      <c r="C22" s="756" t="str">
        <f>'[1]Atualização de custos unitarios'!C24</f>
        <v>Escavadeira hidráulica sobre esteira com caçamba com capacidade de 1,50 m³ - 110 kW (323 DL-Caterpillar)</v>
      </c>
      <c r="D22" s="780">
        <v>110</v>
      </c>
      <c r="E22" s="780">
        <v>5</v>
      </c>
      <c r="F22" s="781">
        <v>2000</v>
      </c>
      <c r="G22" s="782">
        <f>'[1]Atualização de custos unitarios'!E24</f>
        <v>760470.29169999994</v>
      </c>
      <c r="H22" s="783">
        <v>0.3</v>
      </c>
      <c r="I22" s="784" t="s">
        <v>355</v>
      </c>
      <c r="J22" s="784">
        <v>0.7</v>
      </c>
      <c r="K22" s="790" t="str">
        <f>CONCATENATE('[1]Atualização de custos unitarios'!B88," - ",'[1]Atualização de custos unitarios'!C88)</f>
        <v>P9845 - Operador de equipamento pesado</v>
      </c>
      <c r="L22" s="791">
        <f>'[1]Atualização de custos unitarios'!E88</f>
        <v>26.764600000000002</v>
      </c>
      <c r="M22" s="765">
        <f t="shared" si="5"/>
        <v>53.232900000000001</v>
      </c>
      <c r="N22" s="766">
        <f t="shared" si="6"/>
        <v>13.688499999999999</v>
      </c>
      <c r="O22" s="779"/>
      <c r="P22" s="766">
        <f t="shared" si="7"/>
        <v>53.232900000000001</v>
      </c>
      <c r="Q22" s="766">
        <f>ROUND(0.18*D22*$D$5,4)</f>
        <v>64.019300000000001</v>
      </c>
      <c r="R22" s="782">
        <f>L22</f>
        <v>26.764600000000002</v>
      </c>
      <c r="S22" s="760">
        <f t="shared" si="8"/>
        <v>210.93819999999999</v>
      </c>
      <c r="T22" s="767">
        <f t="shared" si="9"/>
        <v>93.686000000000007</v>
      </c>
    </row>
    <row r="23" spans="1:20" x14ac:dyDescent="0.2">
      <c r="A23" s="768" t="str">
        <f>'[1]Atualização de custos unitarios'!A25</f>
        <v>DNIT –</v>
      </c>
      <c r="B23" s="769" t="str">
        <f>'[1]Atualização de custos unitarios'!B25</f>
        <v>E9517</v>
      </c>
      <c r="C23" s="756" t="str">
        <f>'[1]Atualização de custos unitarios'!C25</f>
        <v>Compressor de ar portátil de 912 PCM - 184 kW (XAS 430CUd - Atlas Copco)</v>
      </c>
      <c r="D23" s="780">
        <v>184</v>
      </c>
      <c r="E23" s="780">
        <v>6</v>
      </c>
      <c r="F23" s="781">
        <v>2000</v>
      </c>
      <c r="G23" s="782">
        <f>'[1]Atualização de custos unitarios'!E25</f>
        <v>404955.60979999998</v>
      </c>
      <c r="H23" s="783">
        <v>0.2</v>
      </c>
      <c r="I23" s="784" t="s">
        <v>355</v>
      </c>
      <c r="J23" s="784">
        <v>0.8</v>
      </c>
      <c r="K23" s="763"/>
      <c r="L23" s="764"/>
      <c r="M23" s="765">
        <f t="shared" si="5"/>
        <v>26.997</v>
      </c>
      <c r="N23" s="766">
        <f t="shared" si="6"/>
        <v>7.0867000000000004</v>
      </c>
      <c r="O23" s="785"/>
      <c r="P23" s="766">
        <f t="shared" si="7"/>
        <v>26.997</v>
      </c>
      <c r="Q23" s="766">
        <f>ROUND(0.18*D23*$D$5,4)</f>
        <v>107.0869</v>
      </c>
      <c r="R23" s="757"/>
      <c r="S23" s="760">
        <f t="shared" si="8"/>
        <v>168.16759999999999</v>
      </c>
      <c r="T23" s="767">
        <f t="shared" si="9"/>
        <v>34.0837</v>
      </c>
    </row>
    <row r="24" spans="1:20" x14ac:dyDescent="0.2">
      <c r="A24" s="768" t="str">
        <f>'[1]Atualização de custos unitarios'!A26</f>
        <v>DNIT –</v>
      </c>
      <c r="B24" s="769" t="str">
        <f>'[1]Atualização de custos unitarios'!B26</f>
        <v>E9518</v>
      </c>
      <c r="C24" s="756" t="str">
        <f>'[1]Atualização de custos unitarios'!C26</f>
        <v>Grade de 24 discos rebocável de 24" (GAM 24 x 24" - Marchesan)</v>
      </c>
      <c r="D24" s="787"/>
      <c r="E24" s="780">
        <v>7</v>
      </c>
      <c r="F24" s="781">
        <v>2000</v>
      </c>
      <c r="G24" s="782">
        <f>'[1]Atualização de custos unitarios'!E26</f>
        <v>24069.782299999999</v>
      </c>
      <c r="H24" s="783">
        <v>0.1</v>
      </c>
      <c r="I24" s="787"/>
      <c r="J24" s="784">
        <v>0.5</v>
      </c>
      <c r="K24" s="788"/>
      <c r="L24" s="789"/>
      <c r="M24" s="765">
        <f t="shared" si="5"/>
        <v>1.5472999999999999</v>
      </c>
      <c r="N24" s="766">
        <f t="shared" si="6"/>
        <v>0.41260000000000002</v>
      </c>
      <c r="O24" s="785"/>
      <c r="P24" s="766">
        <f t="shared" si="7"/>
        <v>0.85960000000000003</v>
      </c>
      <c r="Q24" s="788"/>
      <c r="R24" s="789"/>
      <c r="S24" s="760">
        <f t="shared" si="8"/>
        <v>2.8195000000000001</v>
      </c>
      <c r="T24" s="767">
        <f t="shared" si="9"/>
        <v>1.9599</v>
      </c>
    </row>
    <row r="25" spans="1:20" ht="30" x14ac:dyDescent="0.2">
      <c r="A25" s="768" t="str">
        <f>'[1]Atualização de custos unitarios'!A27</f>
        <v>DNIT –</v>
      </c>
      <c r="B25" s="769" t="str">
        <f>'[1]Atualização de custos unitarios'!B27</f>
        <v>E9519</v>
      </c>
      <c r="C25" s="756" t="str">
        <f>'[1]Atualização de custos unitarios'!C27</f>
        <v>Betoneira com motor a gasolina e capacidade de 600 l - 10 kW (Menegotti)</v>
      </c>
      <c r="D25" s="771">
        <v>10</v>
      </c>
      <c r="E25" s="771">
        <v>5</v>
      </c>
      <c r="F25" s="772">
        <v>2000</v>
      </c>
      <c r="G25" s="773">
        <f>'[1]Atualização de custos unitarios'!E27</f>
        <v>20994.3806</v>
      </c>
      <c r="H25" s="786">
        <v>0.2</v>
      </c>
      <c r="I25" s="776" t="s">
        <v>356</v>
      </c>
      <c r="J25" s="776">
        <v>0.6</v>
      </c>
      <c r="K25" s="790" t="str">
        <f>CONCATENATE('[1]Atualização de custos unitarios'!B87," - ",'[1]Atualização de custos unitarios'!C87)</f>
        <v>P9843 - Operador de equipamento leve</v>
      </c>
      <c r="L25" s="791">
        <f>'[1]Atualização de custos unitarios'!E87</f>
        <v>19.903300000000002</v>
      </c>
      <c r="M25" s="765">
        <f t="shared" si="5"/>
        <v>1.6796</v>
      </c>
      <c r="N25" s="766">
        <f t="shared" si="6"/>
        <v>0.37790000000000001</v>
      </c>
      <c r="O25" s="779"/>
      <c r="P25" s="766">
        <f t="shared" si="7"/>
        <v>1.2597</v>
      </c>
      <c r="Q25" s="773">
        <f>ROUND(0.2*D25*$H$5,4)</f>
        <v>8.1183999999999994</v>
      </c>
      <c r="R25" s="782">
        <f>L25</f>
        <v>19.903300000000002</v>
      </c>
      <c r="S25" s="760">
        <f t="shared" si="8"/>
        <v>31.338899999999999</v>
      </c>
      <c r="T25" s="767">
        <f t="shared" si="9"/>
        <v>21.960799999999999</v>
      </c>
    </row>
    <row r="26" spans="1:20" x14ac:dyDescent="0.2">
      <c r="A26" s="768" t="str">
        <f>'[1]Atualização de custos unitarios'!A28</f>
        <v>DNIT –</v>
      </c>
      <c r="B26" s="769" t="str">
        <f>'[1]Atualização de custos unitarios'!B28</f>
        <v>E9521</v>
      </c>
      <c r="C26" s="756" t="str">
        <f>'[1]Atualização de custos unitarios'!C28</f>
        <v>Grupo gerador - 2,5/3 kVA (X 3000 - Pramac)</v>
      </c>
      <c r="D26" s="803">
        <v>2.4</v>
      </c>
      <c r="E26" s="803">
        <v>7</v>
      </c>
      <c r="F26" s="804">
        <v>2000</v>
      </c>
      <c r="G26" s="805">
        <f>'[1]Atualização de custos unitarios'!E28</f>
        <v>2321.6660000000002</v>
      </c>
      <c r="H26" s="806">
        <v>0.3</v>
      </c>
      <c r="I26" s="807" t="s">
        <v>356</v>
      </c>
      <c r="J26" s="807">
        <v>0.5</v>
      </c>
      <c r="K26" s="774"/>
      <c r="L26" s="775"/>
      <c r="M26" s="765">
        <f t="shared" si="5"/>
        <v>0.11609999999999999</v>
      </c>
      <c r="N26" s="766">
        <f t="shared" si="6"/>
        <v>3.9800000000000002E-2</v>
      </c>
      <c r="O26" s="785"/>
      <c r="P26" s="766">
        <f t="shared" si="7"/>
        <v>8.2900000000000001E-2</v>
      </c>
      <c r="Q26" s="773">
        <f>ROUND(0.2*D26*$H$5,4)</f>
        <v>1.9483999999999999</v>
      </c>
      <c r="R26" s="785"/>
      <c r="S26" s="760">
        <f t="shared" si="8"/>
        <v>2.1871999999999998</v>
      </c>
      <c r="T26" s="767">
        <f t="shared" si="9"/>
        <v>0.15590000000000001</v>
      </c>
    </row>
    <row r="27" spans="1:20" ht="30" x14ac:dyDescent="0.2">
      <c r="A27" s="768" t="str">
        <f>'[1]Atualização de custos unitarios'!A29</f>
        <v>DNIT –</v>
      </c>
      <c r="B27" s="769" t="str">
        <f>'[1]Atualização de custos unitarios'!B29</f>
        <v>E9524</v>
      </c>
      <c r="C27" s="756" t="str">
        <f>'[1]Atualização de custos unitarios'!C29</f>
        <v>Motoniveladora - 93 kW (120K - Caterpillar)</v>
      </c>
      <c r="D27" s="771">
        <v>93</v>
      </c>
      <c r="E27" s="771">
        <v>7</v>
      </c>
      <c r="F27" s="772">
        <v>2000</v>
      </c>
      <c r="G27" s="773">
        <f>'[1]Atualização de custos unitarios'!E29</f>
        <v>786583.40879999998</v>
      </c>
      <c r="H27" s="786">
        <v>0.3</v>
      </c>
      <c r="I27" s="776" t="s">
        <v>355</v>
      </c>
      <c r="J27" s="776">
        <v>0.9</v>
      </c>
      <c r="K27" s="808" t="str">
        <f>CONCATENATE('[1]Atualização de custos unitarios'!B88," - ",'[1]Atualização de custos unitarios'!C88)</f>
        <v>P9845 - Operador de equipamento pesado</v>
      </c>
      <c r="L27" s="809">
        <f>'[1]Atualização de custos unitarios'!E88</f>
        <v>26.764600000000002</v>
      </c>
      <c r="M27" s="765">
        <f t="shared" si="5"/>
        <v>39.3292</v>
      </c>
      <c r="N27" s="766">
        <f t="shared" si="6"/>
        <v>13.484299999999999</v>
      </c>
      <c r="O27" s="779"/>
      <c r="P27" s="766">
        <f t="shared" si="7"/>
        <v>50.566099999999999</v>
      </c>
      <c r="Q27" s="766">
        <f>ROUND(0.18*D27*$D$5,4)</f>
        <v>54.125399999999999</v>
      </c>
      <c r="R27" s="782">
        <f t="shared" ref="R27:R36" si="10">L27</f>
        <v>26.764600000000002</v>
      </c>
      <c r="S27" s="760">
        <f t="shared" si="8"/>
        <v>184.2696</v>
      </c>
      <c r="T27" s="810">
        <f t="shared" si="9"/>
        <v>79.578100000000006</v>
      </c>
    </row>
    <row r="28" spans="1:20" ht="30" x14ac:dyDescent="0.2">
      <c r="A28" s="768" t="str">
        <f>'[1]Atualização de custos unitarios'!A30</f>
        <v>DNIT –</v>
      </c>
      <c r="B28" s="811" t="str">
        <f>'[1]Atualização de custos unitarios'!B30</f>
        <v>E9526</v>
      </c>
      <c r="C28" s="756" t="str">
        <f>'[1]Atualização de custos unitarios'!C30</f>
        <v>Retroescavadeira de pneus - 58 kW (416E - Caterpillar)</v>
      </c>
      <c r="D28" s="780">
        <v>58</v>
      </c>
      <c r="E28" s="780">
        <v>5</v>
      </c>
      <c r="F28" s="781">
        <v>2000</v>
      </c>
      <c r="G28" s="782">
        <f>'[1]Atualização de custos unitarios'!E30</f>
        <v>285428.11959999998</v>
      </c>
      <c r="H28" s="783">
        <v>0.3</v>
      </c>
      <c r="I28" s="784" t="s">
        <v>355</v>
      </c>
      <c r="J28" s="784">
        <v>0.7</v>
      </c>
      <c r="K28" s="808" t="str">
        <f>CONCATENATE('[1]Atualização de custos unitarios'!B88," - ",'[1]Atualização de custos unitarios'!C88)</f>
        <v>P9845 - Operador de equipamento pesado</v>
      </c>
      <c r="L28" s="809">
        <f>'[1]Atualização de custos unitarios'!E88</f>
        <v>26.764600000000002</v>
      </c>
      <c r="M28" s="765">
        <f t="shared" si="5"/>
        <v>19.98</v>
      </c>
      <c r="N28" s="766">
        <f t="shared" si="6"/>
        <v>5.1376999999999997</v>
      </c>
      <c r="O28" s="779"/>
      <c r="P28" s="766">
        <f t="shared" si="7"/>
        <v>19.98</v>
      </c>
      <c r="Q28" s="766">
        <f>ROUND(0.18*D28*$D$5,4)</f>
        <v>33.755699999999997</v>
      </c>
      <c r="R28" s="782">
        <f t="shared" si="10"/>
        <v>26.764600000000002</v>
      </c>
      <c r="S28" s="760">
        <f t="shared" si="8"/>
        <v>105.61799999999999</v>
      </c>
      <c r="T28" s="810">
        <f t="shared" si="9"/>
        <v>51.882300000000001</v>
      </c>
    </row>
    <row r="29" spans="1:20" ht="30" x14ac:dyDescent="0.2">
      <c r="A29" s="768" t="str">
        <f>'[1]Atualização de custos unitarios'!A31</f>
        <v>DNIT –</v>
      </c>
      <c r="B29" s="769" t="str">
        <f>'[1]Atualização de custos unitarios'!B31</f>
        <v>E9527</v>
      </c>
      <c r="C29" s="812" t="str">
        <f>'[1]Atualização de custos unitarios'!C31</f>
        <v>Martelete perfurador/rompedor a ar comprimido de 25 kg (RH 658LS - Atlas Copco)</v>
      </c>
      <c r="D29" s="787"/>
      <c r="E29" s="803">
        <v>5</v>
      </c>
      <c r="F29" s="804">
        <v>2000</v>
      </c>
      <c r="G29" s="805">
        <f>'[1]Atualização de custos unitarios'!E31</f>
        <v>16858.495599999998</v>
      </c>
      <c r="H29" s="806">
        <v>0.2</v>
      </c>
      <c r="I29" s="787"/>
      <c r="J29" s="813">
        <v>0.8</v>
      </c>
      <c r="K29" s="808" t="str">
        <f>CONCATENATE('[1]Atualização de custos unitarios'!B87," - ",'[1]Atualização de custos unitarios'!C87)</f>
        <v>P9843 - Operador de equipamento leve</v>
      </c>
      <c r="L29" s="809">
        <f>'[1]Atualização de custos unitarios'!E87</f>
        <v>19.903300000000002</v>
      </c>
      <c r="M29" s="765">
        <f t="shared" si="5"/>
        <v>1.3487</v>
      </c>
      <c r="N29" s="766">
        <f t="shared" si="6"/>
        <v>0.30349999999999999</v>
      </c>
      <c r="O29" s="785"/>
      <c r="P29" s="766">
        <f t="shared" si="7"/>
        <v>1.3487</v>
      </c>
      <c r="Q29" s="787"/>
      <c r="R29" s="805">
        <f t="shared" si="10"/>
        <v>19.903300000000002</v>
      </c>
      <c r="S29" s="760">
        <f t="shared" si="8"/>
        <v>22.904199999999999</v>
      </c>
      <c r="T29" s="810">
        <f t="shared" si="9"/>
        <v>21.555499999999999</v>
      </c>
    </row>
    <row r="30" spans="1:20" ht="30" x14ac:dyDescent="0.2">
      <c r="A30" s="768" t="str">
        <f>'[1]Atualização de custos unitarios'!A32</f>
        <v>DNIT –</v>
      </c>
      <c r="B30" s="811" t="str">
        <f>'[1]Atualização de custos unitarios'!B32</f>
        <v>E9530</v>
      </c>
      <c r="C30" s="756" t="str">
        <f>'[1]Atualização de custos unitarios'!C32</f>
        <v>Rolo compactador liso autopropelido vibratório de 11 t - 97 kW</v>
      </c>
      <c r="D30" s="780">
        <v>97</v>
      </c>
      <c r="E30" s="780">
        <v>6</v>
      </c>
      <c r="F30" s="781">
        <v>2000</v>
      </c>
      <c r="G30" s="782">
        <f>'[1]Atualização de custos unitarios'!E32</f>
        <v>429079.65539999999</v>
      </c>
      <c r="H30" s="783">
        <v>0.2</v>
      </c>
      <c r="I30" s="784" t="s">
        <v>355</v>
      </c>
      <c r="J30" s="784">
        <v>0.8</v>
      </c>
      <c r="K30" s="790" t="str">
        <f>CONCATENATE('[1]Atualização de custos unitarios'!B88," - ",'[1]Atualização de custos unitarios'!C88)</f>
        <v>P9845 - Operador de equipamento pesado</v>
      </c>
      <c r="L30" s="791">
        <f>'[1]Atualização de custos unitarios'!E88</f>
        <v>26.764600000000002</v>
      </c>
      <c r="M30" s="765">
        <f t="shared" si="5"/>
        <v>28.6053</v>
      </c>
      <c r="N30" s="766">
        <f t="shared" si="6"/>
        <v>7.5088999999999997</v>
      </c>
      <c r="O30" s="757"/>
      <c r="P30" s="766">
        <f t="shared" si="7"/>
        <v>28.6053</v>
      </c>
      <c r="Q30" s="766">
        <f>ROUND(0.18*D30*$D$5,4)</f>
        <v>56.453400000000002</v>
      </c>
      <c r="R30" s="782">
        <f t="shared" si="10"/>
        <v>26.764600000000002</v>
      </c>
      <c r="S30" s="760">
        <f t="shared" si="8"/>
        <v>147.9375</v>
      </c>
      <c r="T30" s="767">
        <f t="shared" si="9"/>
        <v>62.878799999999998</v>
      </c>
    </row>
    <row r="31" spans="1:20" ht="30" x14ac:dyDescent="0.2">
      <c r="A31" s="768" t="str">
        <f>'[1]Atualização de custos unitarios'!A33</f>
        <v>DNIT –</v>
      </c>
      <c r="B31" s="769" t="str">
        <f>'[1]Atualização de custos unitarios'!B33</f>
        <v>E9531</v>
      </c>
      <c r="C31" s="756" t="str">
        <f>'[1]Atualização de custos unitarios'!C33</f>
        <v>Equipamento de sondagem a percussão com motobomba - 2,5 kW</v>
      </c>
      <c r="D31" s="814">
        <v>2.5</v>
      </c>
      <c r="E31" s="814">
        <v>7</v>
      </c>
      <c r="F31" s="814">
        <v>2000</v>
      </c>
      <c r="G31" s="815">
        <f>'[1]Atualização de custos unitarios'!E33</f>
        <v>25131.31</v>
      </c>
      <c r="H31" s="816">
        <v>0.2</v>
      </c>
      <c r="I31" s="817" t="s">
        <v>355</v>
      </c>
      <c r="J31" s="817">
        <v>0.6</v>
      </c>
      <c r="K31" s="808" t="str">
        <f>CONCATENATE('[1]Atualização de custos unitarios'!B87," - ",'[1]Atualização de custos unitarios'!C87)</f>
        <v>P9843 - Operador de equipamento leve</v>
      </c>
      <c r="L31" s="809">
        <f>'[1]Atualização de custos unitarios'!E87</f>
        <v>19.903300000000002</v>
      </c>
      <c r="M31" s="765">
        <f t="shared" si="5"/>
        <v>1.4360999999999999</v>
      </c>
      <c r="N31" s="766">
        <f t="shared" si="6"/>
        <v>0.43080000000000002</v>
      </c>
      <c r="O31" s="785"/>
      <c r="P31" s="766">
        <f t="shared" si="7"/>
        <v>1.0770999999999999</v>
      </c>
      <c r="Q31" s="766">
        <f>ROUND(0.18*D31*$D$5,4)</f>
        <v>1.4550000000000001</v>
      </c>
      <c r="R31" s="818">
        <f t="shared" si="10"/>
        <v>19.903300000000002</v>
      </c>
      <c r="S31" s="760">
        <f t="shared" si="8"/>
        <v>24.302299999999999</v>
      </c>
      <c r="T31" s="810">
        <f t="shared" si="9"/>
        <v>21.770199999999999</v>
      </c>
    </row>
    <row r="32" spans="1:20" ht="30" x14ac:dyDescent="0.2">
      <c r="A32" s="768" t="str">
        <f>'[1]Atualização de custos unitarios'!A34</f>
        <v>DNIT –</v>
      </c>
      <c r="B32" s="769" t="str">
        <f>'[1]Atualização de custos unitarios'!B34</f>
        <v>E9533</v>
      </c>
      <c r="C32" s="756" t="str">
        <f>'[1]Atualização de custos unitarios'!C34</f>
        <v>Sonda rotativa com motor, bombas, mastro e cabeçote - 20 kW</v>
      </c>
      <c r="D32" s="771">
        <v>20</v>
      </c>
      <c r="E32" s="771">
        <v>7</v>
      </c>
      <c r="F32" s="772">
        <v>2000</v>
      </c>
      <c r="G32" s="773">
        <f>'[1]Atualização de custos unitarios'!E34</f>
        <v>153642.00769999999</v>
      </c>
      <c r="H32" s="786">
        <v>0.2</v>
      </c>
      <c r="I32" s="776" t="s">
        <v>355</v>
      </c>
      <c r="J32" s="817">
        <v>0.8</v>
      </c>
      <c r="K32" s="808" t="str">
        <f>CONCATENATE('[1]Atualização de custos unitarios'!B87," - ",'[1]Atualização de custos unitarios'!C87)</f>
        <v>P9843 - Operador de equipamento leve</v>
      </c>
      <c r="L32" s="809">
        <f>'[1]Atualização de custos unitarios'!E87</f>
        <v>19.903300000000002</v>
      </c>
      <c r="M32" s="765">
        <f t="shared" si="5"/>
        <v>8.7795000000000005</v>
      </c>
      <c r="N32" s="766">
        <f t="shared" si="6"/>
        <v>2.6339000000000001</v>
      </c>
      <c r="O32" s="779"/>
      <c r="P32" s="766">
        <f t="shared" si="7"/>
        <v>8.7795000000000005</v>
      </c>
      <c r="Q32" s="766">
        <f>ROUND(0.18*D32*$D$5,4)</f>
        <v>11.639900000000001</v>
      </c>
      <c r="R32" s="773">
        <f t="shared" si="10"/>
        <v>19.903300000000002</v>
      </c>
      <c r="S32" s="760">
        <f t="shared" si="8"/>
        <v>51.7361</v>
      </c>
      <c r="T32" s="810">
        <f t="shared" si="9"/>
        <v>31.316700000000001</v>
      </c>
    </row>
    <row r="33" spans="1:20" ht="30" x14ac:dyDescent="0.2">
      <c r="A33" s="768" t="str">
        <f>'[1]Atualização de custos unitarios'!A35</f>
        <v>DNIT –</v>
      </c>
      <c r="B33" s="769" t="str">
        <f>'[1]Atualização de custos unitarios'!B35</f>
        <v>E9535</v>
      </c>
      <c r="C33" s="756" t="str">
        <f>'[1]Atualização de custos unitarios'!C35</f>
        <v>Serra circular com bancada - D = 30 cm - 4 kW (SCCC - Maksiwa)</v>
      </c>
      <c r="D33" s="780">
        <v>4</v>
      </c>
      <c r="E33" s="780">
        <v>5</v>
      </c>
      <c r="F33" s="781">
        <v>2000</v>
      </c>
      <c r="G33" s="782">
        <f>'[1]Atualização de custos unitarios'!E35</f>
        <v>5193.0589</v>
      </c>
      <c r="H33" s="783">
        <v>0.1</v>
      </c>
      <c r="I33" s="784" t="s">
        <v>108</v>
      </c>
      <c r="J33" s="817">
        <v>0.5</v>
      </c>
      <c r="K33" s="808" t="str">
        <f>CONCATENATE('[1]Atualização de custos unitarios'!B87," - ",'[1]Atualização de custos unitarios'!C87)</f>
        <v>P9843 - Operador de equipamento leve</v>
      </c>
      <c r="L33" s="809">
        <f>'[1]Atualização de custos unitarios'!E87</f>
        <v>19.903300000000002</v>
      </c>
      <c r="M33" s="765">
        <f t="shared" si="5"/>
        <v>0.46739999999999998</v>
      </c>
      <c r="N33" s="766">
        <f t="shared" si="6"/>
        <v>9.35E-2</v>
      </c>
      <c r="O33" s="779"/>
      <c r="P33" s="766">
        <f t="shared" si="7"/>
        <v>0.25969999999999999</v>
      </c>
      <c r="Q33" s="787"/>
      <c r="R33" s="782">
        <f t="shared" si="10"/>
        <v>19.903300000000002</v>
      </c>
      <c r="S33" s="760">
        <f t="shared" si="8"/>
        <v>20.7239</v>
      </c>
      <c r="T33" s="810">
        <f t="shared" si="9"/>
        <v>20.464200000000002</v>
      </c>
    </row>
    <row r="34" spans="1:20" ht="30" x14ac:dyDescent="0.2">
      <c r="A34" s="768" t="str">
        <f>'[1]Atualização de custos unitarios'!A36</f>
        <v>DNIT –</v>
      </c>
      <c r="B34" s="769" t="str">
        <f>'[1]Atualização de custos unitarios'!B36</f>
        <v>E9537</v>
      </c>
      <c r="C34" s="756" t="str">
        <f>'[1]Atualização de custos unitarios'!C36</f>
        <v>Carregadeira de pneus com capacidade de 1,72 m³ - 113 kW (W20E - Case Construction)</v>
      </c>
      <c r="D34" s="780">
        <v>113</v>
      </c>
      <c r="E34" s="780">
        <v>5</v>
      </c>
      <c r="F34" s="781">
        <v>2000</v>
      </c>
      <c r="G34" s="782">
        <f>'[1]Atualização de custos unitarios'!E36</f>
        <v>352021.43849999999</v>
      </c>
      <c r="H34" s="783">
        <v>0.3</v>
      </c>
      <c r="I34" s="784" t="s">
        <v>355</v>
      </c>
      <c r="J34" s="817">
        <v>0.7</v>
      </c>
      <c r="K34" s="808" t="str">
        <f>CONCATENATE('[1]Atualização de custos unitarios'!B88," - ",'[1]Atualização de custos unitarios'!C88)</f>
        <v>P9845 - Operador de equipamento pesado</v>
      </c>
      <c r="L34" s="809">
        <f>'[1]Atualização de custos unitarios'!E88</f>
        <v>26.764600000000002</v>
      </c>
      <c r="M34" s="765">
        <f t="shared" si="5"/>
        <v>24.641500000000001</v>
      </c>
      <c r="N34" s="766">
        <f t="shared" si="6"/>
        <v>6.3364000000000003</v>
      </c>
      <c r="O34" s="785"/>
      <c r="P34" s="766">
        <f t="shared" si="7"/>
        <v>24.641500000000001</v>
      </c>
      <c r="Q34" s="766">
        <f>ROUND(0.18*D34*$D$5,4)</f>
        <v>65.765299999999996</v>
      </c>
      <c r="R34" s="782">
        <f t="shared" si="10"/>
        <v>26.764600000000002</v>
      </c>
      <c r="S34" s="760">
        <f t="shared" si="8"/>
        <v>148.14930000000001</v>
      </c>
      <c r="T34" s="810">
        <f t="shared" si="9"/>
        <v>57.7425</v>
      </c>
    </row>
    <row r="35" spans="1:20" ht="30" x14ac:dyDescent="0.2">
      <c r="A35" s="768" t="str">
        <f>'[1]Atualização de custos unitarios'!A37</f>
        <v>DNIT –</v>
      </c>
      <c r="B35" s="769" t="str">
        <f>'[1]Atualização de custos unitarios'!B37</f>
        <v>E9540</v>
      </c>
      <c r="C35" s="756" t="str">
        <f>'[1]Atualização de custos unitarios'!C37</f>
        <v>Trator de esteiras com lâmina - 112 kW (D6N - Caterpillar)</v>
      </c>
      <c r="D35" s="780">
        <v>112</v>
      </c>
      <c r="E35" s="780">
        <v>9</v>
      </c>
      <c r="F35" s="781">
        <v>2000</v>
      </c>
      <c r="G35" s="782">
        <f>'[1]Atualização de custos unitarios'!E37</f>
        <v>966685.7598</v>
      </c>
      <c r="H35" s="783">
        <v>0.3</v>
      </c>
      <c r="I35" s="784" t="s">
        <v>355</v>
      </c>
      <c r="J35" s="784">
        <v>1</v>
      </c>
      <c r="K35" s="808" t="str">
        <f>CONCATENATE('[1]Atualização de custos unitarios'!B88," - ",'[1]Atualização de custos unitarios'!C88)</f>
        <v>P9845 - Operador de equipamento pesado</v>
      </c>
      <c r="L35" s="809">
        <f>'[1]Atualização de custos unitarios'!E88</f>
        <v>26.764600000000002</v>
      </c>
      <c r="M35" s="765">
        <f t="shared" si="5"/>
        <v>37.593299999999999</v>
      </c>
      <c r="N35" s="766">
        <f t="shared" si="6"/>
        <v>16.1114</v>
      </c>
      <c r="O35" s="785"/>
      <c r="P35" s="766">
        <f t="shared" si="7"/>
        <v>53.704799999999999</v>
      </c>
      <c r="Q35" s="766">
        <f>ROUND(0.18*D35*$D$5,4)</f>
        <v>65.183300000000003</v>
      </c>
      <c r="R35" s="782">
        <f t="shared" si="10"/>
        <v>26.764600000000002</v>
      </c>
      <c r="S35" s="760">
        <f t="shared" si="8"/>
        <v>199.35740000000001</v>
      </c>
      <c r="T35" s="810">
        <f t="shared" si="9"/>
        <v>80.469300000000004</v>
      </c>
    </row>
    <row r="36" spans="1:20" ht="30" x14ac:dyDescent="0.2">
      <c r="A36" s="768" t="str">
        <f>'[1]Atualização de custos unitarios'!A38</f>
        <v>DNIT –</v>
      </c>
      <c r="B36" s="769" t="str">
        <f>'[1]Atualização de custos unitarios'!B38</f>
        <v>E9541</v>
      </c>
      <c r="C36" s="756" t="str">
        <f>'[1]Atualização de custos unitarios'!C38</f>
        <v>Trator de esteiras com lâmina - 259 kW (D8T - Caterpillar)</v>
      </c>
      <c r="D36" s="780">
        <v>259</v>
      </c>
      <c r="E36" s="780">
        <v>9</v>
      </c>
      <c r="F36" s="781">
        <v>2000</v>
      </c>
      <c r="G36" s="782">
        <f>'[1]Atualização de custos unitarios'!E38</f>
        <v>2552267.2969999998</v>
      </c>
      <c r="H36" s="783">
        <v>0.3</v>
      </c>
      <c r="I36" s="784" t="s">
        <v>355</v>
      </c>
      <c r="J36" s="819">
        <v>1</v>
      </c>
      <c r="K36" s="790" t="str">
        <f>CONCATENATE('[1]Atualização de custos unitarios'!B88," - ",'[1]Atualização de custos unitarios'!C88)</f>
        <v>P9845 - Operador de equipamento pesado</v>
      </c>
      <c r="L36" s="791">
        <f>'[1]Atualização de custos unitarios'!E88</f>
        <v>26.764600000000002</v>
      </c>
      <c r="M36" s="765">
        <f t="shared" si="5"/>
        <v>99.254800000000003</v>
      </c>
      <c r="N36" s="766">
        <f t="shared" si="6"/>
        <v>42.537799999999997</v>
      </c>
      <c r="O36" s="779"/>
      <c r="P36" s="766">
        <f t="shared" si="7"/>
        <v>141.79259999999999</v>
      </c>
      <c r="Q36" s="766">
        <f>ROUND(0.18*D36*$D$5,4)</f>
        <v>150.7364</v>
      </c>
      <c r="R36" s="782">
        <f t="shared" si="10"/>
        <v>26.764600000000002</v>
      </c>
      <c r="S36" s="760">
        <f t="shared" si="8"/>
        <v>461.08620000000002</v>
      </c>
      <c r="T36" s="767">
        <f t="shared" si="9"/>
        <v>168.55719999999999</v>
      </c>
    </row>
    <row r="37" spans="1:20" x14ac:dyDescent="0.2">
      <c r="A37" s="768" t="str">
        <f>'[1]Atualização de custos unitarios'!A39</f>
        <v>DNIT –</v>
      </c>
      <c r="B37" s="769" t="str">
        <f>'[1]Atualização de custos unitarios'!B39</f>
        <v>E9547</v>
      </c>
      <c r="C37" s="756" t="str">
        <f>'[1]Atualização de custos unitarios'!C39</f>
        <v>Máquina para solda elétrica - 9,2 kW (Bantam 250 - Esab)</v>
      </c>
      <c r="D37" s="780">
        <v>9.1999999999999993</v>
      </c>
      <c r="E37" s="780">
        <v>5</v>
      </c>
      <c r="F37" s="781">
        <v>2000</v>
      </c>
      <c r="G37" s="782">
        <f>'[1]Atualização de custos unitarios'!E39</f>
        <v>495.99200000000002</v>
      </c>
      <c r="H37" s="783">
        <v>0.2</v>
      </c>
      <c r="I37" s="784" t="s">
        <v>108</v>
      </c>
      <c r="J37" s="820">
        <v>0.8</v>
      </c>
      <c r="K37" s="763"/>
      <c r="L37" s="764"/>
      <c r="M37" s="765">
        <f t="shared" si="5"/>
        <v>3.9699999999999999E-2</v>
      </c>
      <c r="N37" s="766">
        <f t="shared" si="6"/>
        <v>8.8999999999999999E-3</v>
      </c>
      <c r="O37" s="779"/>
      <c r="P37" s="766">
        <f t="shared" si="7"/>
        <v>3.9699999999999999E-2</v>
      </c>
      <c r="Q37" s="792"/>
      <c r="R37" s="764"/>
      <c r="S37" s="760">
        <f t="shared" si="8"/>
        <v>8.8300000000000003E-2</v>
      </c>
      <c r="T37" s="767">
        <f t="shared" si="9"/>
        <v>4.8599999999999997E-2</v>
      </c>
    </row>
    <row r="38" spans="1:20" x14ac:dyDescent="0.2">
      <c r="A38" s="768" t="str">
        <f>'[1]Atualização de custos unitarios'!A40</f>
        <v>DNIT –</v>
      </c>
      <c r="B38" s="769" t="str">
        <f>'[1]Atualização de custos unitarios'!B40</f>
        <v>E9568</v>
      </c>
      <c r="C38" s="756" t="str">
        <f>'[1]Atualização de custos unitarios'!C40</f>
        <v>Furadeira de impacto de 12,5 mm - 0,8 kW</v>
      </c>
      <c r="D38" s="771">
        <v>0.8</v>
      </c>
      <c r="E38" s="771">
        <v>5</v>
      </c>
      <c r="F38" s="772">
        <v>2000</v>
      </c>
      <c r="G38" s="773">
        <f>'[1]Atualização de custos unitarios'!E40</f>
        <v>1175.4096999999999</v>
      </c>
      <c r="H38" s="786">
        <v>0.2</v>
      </c>
      <c r="I38" s="776" t="s">
        <v>108</v>
      </c>
      <c r="J38" s="776">
        <v>0.5</v>
      </c>
      <c r="K38" s="777"/>
      <c r="L38" s="778"/>
      <c r="M38" s="765">
        <f t="shared" si="5"/>
        <v>9.4E-2</v>
      </c>
      <c r="N38" s="766">
        <f t="shared" si="6"/>
        <v>2.12E-2</v>
      </c>
      <c r="O38" s="785"/>
      <c r="P38" s="766">
        <f t="shared" si="7"/>
        <v>5.8799999999999998E-2</v>
      </c>
      <c r="Q38" s="821"/>
      <c r="R38" s="778"/>
      <c r="S38" s="760">
        <f t="shared" si="8"/>
        <v>0.17399999999999999</v>
      </c>
      <c r="T38" s="767">
        <f t="shared" si="9"/>
        <v>0.1152</v>
      </c>
    </row>
    <row r="39" spans="1:20" ht="21" x14ac:dyDescent="0.2">
      <c r="A39" s="1423" t="str">
        <f>'[1]Atualização de custos unitarios'!A41</f>
        <v>DNIT –</v>
      </c>
      <c r="B39" s="793" t="str">
        <f>'[1]Atualização de custos unitarios'!B41</f>
        <v>E9571</v>
      </c>
      <c r="C39" s="756" t="str">
        <f>'[1]Atualização de custos unitarios'!C41</f>
        <v>Caminhão tanque com capacidade de 10.000 l - 188 kW (Atego 2426 - Mercedes-Benz)</v>
      </c>
      <c r="D39" s="794"/>
      <c r="E39" s="795"/>
      <c r="F39" s="795"/>
      <c r="G39" s="796"/>
      <c r="H39" s="797"/>
      <c r="I39" s="798"/>
      <c r="J39" s="798"/>
      <c r="K39" s="799"/>
      <c r="L39" s="800"/>
      <c r="M39" s="796"/>
      <c r="N39" s="796"/>
      <c r="O39" s="801"/>
      <c r="P39" s="796"/>
      <c r="Q39" s="800"/>
      <c r="R39" s="789"/>
      <c r="S39" s="782">
        <f>ROUND(S40+S41,4)</f>
        <v>204.17570000000001</v>
      </c>
      <c r="T39" s="767">
        <f>ROUND(T40+T41,4)</f>
        <v>60.8142</v>
      </c>
    </row>
    <row r="40" spans="1:20" ht="21" x14ac:dyDescent="0.2">
      <c r="A40" s="1423"/>
      <c r="B40" s="793" t="str">
        <f>'[1]Atualização de custos unitarios'!B42</f>
        <v>A9311</v>
      </c>
      <c r="C40" s="756" t="str">
        <f>'[1]Atualização de custos unitarios'!C42</f>
        <v>Caminhão plataforma 6 x 2, PBT 24.100 kg e distância entre eixos 4,8 m - 188 kW - Motorista de caminhão</v>
      </c>
      <c r="D40" s="780">
        <v>188</v>
      </c>
      <c r="E40" s="780">
        <v>7</v>
      </c>
      <c r="F40" s="781">
        <v>2000</v>
      </c>
      <c r="G40" s="782">
        <f>'[1]Atualização de custos unitarios'!E42</f>
        <v>442100.94209999999</v>
      </c>
      <c r="H40" s="783">
        <v>0.4</v>
      </c>
      <c r="I40" s="784" t="s">
        <v>355</v>
      </c>
      <c r="J40" s="784">
        <v>0.9</v>
      </c>
      <c r="K40" s="790" t="str">
        <f>CONCATENATE('[1]Atualização de custos unitarios'!B91," - ",'[1]Atualização de custos unitarios'!C91)</f>
        <v>P9866 - Motorista de caminhão</v>
      </c>
      <c r="L40" s="791">
        <f>'[1]Atualização de custos unitarios'!E91</f>
        <v>24.1953</v>
      </c>
      <c r="M40" s="765">
        <f>ROUND((G40*(1-H40))/(E40*F40),4)</f>
        <v>18.947199999999999</v>
      </c>
      <c r="N40" s="766">
        <f>ROUND((G40*(E40+1)*$J$6)/(2*E40*F40),4)</f>
        <v>7.5789</v>
      </c>
      <c r="O40" s="802">
        <f>ROUND(((E40+1)*(G40*$D$6))/(2*E40*F40),4)</f>
        <v>3.1579000000000002</v>
      </c>
      <c r="P40" s="766">
        <f>ROUND((G40*J40)/(E40*F40),4)</f>
        <v>28.4208</v>
      </c>
      <c r="Q40" s="766">
        <f>ROUND(0.18*D40*$D$5,4)</f>
        <v>109.4149</v>
      </c>
      <c r="R40" s="782">
        <f>L40</f>
        <v>24.1953</v>
      </c>
      <c r="S40" s="760">
        <f>ROUND(M40+N40+O40+P40+Q40+R40,4)</f>
        <v>191.715</v>
      </c>
      <c r="T40" s="767">
        <f>ROUND(M40+N40+O40+R40,4)</f>
        <v>53.879300000000001</v>
      </c>
    </row>
    <row r="41" spans="1:20" x14ac:dyDescent="0.2">
      <c r="A41" s="1423"/>
      <c r="B41" s="793" t="str">
        <f>'[1]Atualização de custos unitarios'!B43</f>
        <v>A9360</v>
      </c>
      <c r="C41" s="756" t="str">
        <f>'[1]Atualização de custos unitarios'!C43</f>
        <v>Tanque para transporte de água com capacidade de 10.000 l</v>
      </c>
      <c r="D41" s="787"/>
      <c r="E41" s="780">
        <v>5.8</v>
      </c>
      <c r="F41" s="781">
        <v>2000</v>
      </c>
      <c r="G41" s="782">
        <f>'[1]Atualização de custos unitarios'!E43</f>
        <v>80124.037299999996</v>
      </c>
      <c r="H41" s="783">
        <v>0.2</v>
      </c>
      <c r="I41" s="787"/>
      <c r="J41" s="784">
        <v>0.8</v>
      </c>
      <c r="K41" s="788"/>
      <c r="L41" s="789"/>
      <c r="M41" s="765">
        <f>ROUND((G41*(1-H41))/(E41*F41),4)</f>
        <v>5.5258000000000003</v>
      </c>
      <c r="N41" s="766">
        <f>ROUND((G41*(E41+1)*$J$6)/(2*E41*F41),4)</f>
        <v>1.4091</v>
      </c>
      <c r="O41" s="785"/>
      <c r="P41" s="766">
        <f>ROUND((G41*J41)/(E41*F41),4)</f>
        <v>5.5258000000000003</v>
      </c>
      <c r="Q41" s="774"/>
      <c r="R41" s="775"/>
      <c r="S41" s="760">
        <f>ROUND(M41+N41+O41+P41+Q41+R41,4)</f>
        <v>12.460699999999999</v>
      </c>
      <c r="T41" s="767">
        <f>ROUND(M41+N41+O41+R41,4)</f>
        <v>6.9348999999999998</v>
      </c>
    </row>
    <row r="42" spans="1:20" ht="30" x14ac:dyDescent="0.2">
      <c r="A42" s="768" t="str">
        <f>'[1]Atualização de custos unitarios'!A44</f>
        <v>DNIT –</v>
      </c>
      <c r="B42" s="755" t="str">
        <f>'[1]Atualização de custos unitarios'!B44</f>
        <v>E9574</v>
      </c>
      <c r="C42" s="756" t="str">
        <f>'[1]Atualização de custos unitarios'!C44</f>
        <v>Perfuratriz sobre esteiras - 145 kW (Power Roc T35 - Atlas Copco)</v>
      </c>
      <c r="D42" s="771">
        <v>145</v>
      </c>
      <c r="E42" s="771">
        <v>6</v>
      </c>
      <c r="F42" s="772">
        <v>2000</v>
      </c>
      <c r="G42" s="773">
        <f>'[1]Atualização de custos unitarios'!E44</f>
        <v>2621312.449</v>
      </c>
      <c r="H42" s="786">
        <v>0.2</v>
      </c>
      <c r="I42" s="776" t="s">
        <v>355</v>
      </c>
      <c r="J42" s="776">
        <v>0.8</v>
      </c>
      <c r="K42" s="790" t="str">
        <f>CONCATENATE('[1]Atualização de custos unitarios'!B88," - ",'[1]Atualização de custos unitarios'!C88)</f>
        <v>P9845 - Operador de equipamento pesado</v>
      </c>
      <c r="L42" s="791">
        <f>'[1]Atualização de custos unitarios'!E88</f>
        <v>26.764600000000002</v>
      </c>
      <c r="M42" s="765">
        <f>ROUND((G42*(1-H42))/(E42*F42),4)</f>
        <v>174.7542</v>
      </c>
      <c r="N42" s="766">
        <f>ROUND((G42*(E42+1)*$J$6)/(2*E42*F42),4)</f>
        <v>45.872999999999998</v>
      </c>
      <c r="O42" s="779"/>
      <c r="P42" s="766">
        <f>ROUND((G42*J42)/(E42*F42),4)</f>
        <v>174.7542</v>
      </c>
      <c r="Q42" s="766">
        <f>ROUND(0.18*D42*$D$5,4)</f>
        <v>84.389099999999999</v>
      </c>
      <c r="R42" s="773">
        <f>L42</f>
        <v>26.764600000000002</v>
      </c>
      <c r="S42" s="760">
        <f>ROUND(M42+N42+O42+P42+Q42+R42,4)</f>
        <v>506.5351</v>
      </c>
      <c r="T42" s="767">
        <f>ROUND(M42+N42+O42+R42,4)</f>
        <v>247.39179999999999</v>
      </c>
    </row>
    <row r="43" spans="1:20" ht="30" x14ac:dyDescent="0.2">
      <c r="A43" s="768" t="str">
        <f>'[1]Atualização de custos unitarios'!A45</f>
        <v>DNIT –</v>
      </c>
      <c r="B43" s="755" t="str">
        <f>'[1]Atualização de custos unitarios'!B45</f>
        <v>E9576</v>
      </c>
      <c r="C43" s="756" t="str">
        <f>'[1]Atualização de custos unitarios'!C45</f>
        <v>Escavadeira hidráulica de longo alcance sobre esteiras - 103 kW (320 DL - Caterpillar)</v>
      </c>
      <c r="D43" s="780">
        <v>103</v>
      </c>
      <c r="E43" s="780">
        <v>5</v>
      </c>
      <c r="F43" s="781">
        <v>2000</v>
      </c>
      <c r="G43" s="782">
        <f>'[1]Atualização de custos unitarios'!E45</f>
        <v>667790.8186</v>
      </c>
      <c r="H43" s="783">
        <v>0.3</v>
      </c>
      <c r="I43" s="784" t="s">
        <v>355</v>
      </c>
      <c r="J43" s="784">
        <v>0.7</v>
      </c>
      <c r="K43" s="790" t="str">
        <f>CONCATENATE('[1]Atualização de custos unitarios'!B88," - ",'[1]Atualização de custos unitarios'!C88)</f>
        <v>P9845 - Operador de equipamento pesado</v>
      </c>
      <c r="L43" s="791">
        <f>'[1]Atualização de custos unitarios'!E88</f>
        <v>26.764600000000002</v>
      </c>
      <c r="M43" s="765">
        <f>ROUND((G43*(1-H43))/(E43*F43),4)</f>
        <v>46.745399999999997</v>
      </c>
      <c r="N43" s="766">
        <f>ROUND((G43*(E43+1)*$J$6)/(2*E43*F43),4)</f>
        <v>12.020200000000001</v>
      </c>
      <c r="O43" s="779"/>
      <c r="P43" s="766">
        <f>ROUND((G43*J43)/(E43*F43),4)</f>
        <v>46.745399999999997</v>
      </c>
      <c r="Q43" s="766">
        <f>ROUND(0.18*D43*$D$5,4)</f>
        <v>59.945399999999999</v>
      </c>
      <c r="R43" s="782">
        <f>L43</f>
        <v>26.764600000000002</v>
      </c>
      <c r="S43" s="760">
        <f>ROUND(M43+N43+O43+P43+Q43+R43,4)</f>
        <v>192.221</v>
      </c>
      <c r="T43" s="767">
        <f>ROUND(M43+N43+O43+R43,4)</f>
        <v>85.530199999999994</v>
      </c>
    </row>
    <row r="44" spans="1:20" ht="30" x14ac:dyDescent="0.2">
      <c r="A44" s="754" t="str">
        <f>'[1]Atualização de custos unitarios'!A46</f>
        <v>DNIT –</v>
      </c>
      <c r="B44" s="755" t="str">
        <f>'[1]Atualização de custos unitarios'!B46</f>
        <v>E9577</v>
      </c>
      <c r="C44" s="756" t="str">
        <f>'[1]Atualização de custos unitarios'!C46</f>
        <v>Trator agrícola - 77 kW (MF 4292 - Massey Ferguson)</v>
      </c>
      <c r="D44" s="758">
        <v>77</v>
      </c>
      <c r="E44" s="758">
        <v>6</v>
      </c>
      <c r="F44" s="759">
        <v>2000</v>
      </c>
      <c r="G44" s="760">
        <f>'[1]Atualização de custos unitarios'!E46</f>
        <v>174897.31700000001</v>
      </c>
      <c r="H44" s="761">
        <v>0.2</v>
      </c>
      <c r="I44" s="762" t="s">
        <v>355</v>
      </c>
      <c r="J44" s="762">
        <v>0.7</v>
      </c>
      <c r="K44" s="790" t="str">
        <f>CONCATENATE('[1]Atualização de custos unitarios'!B87," - ",'[1]Atualização de custos unitarios'!C87)</f>
        <v>P9843 - Operador de equipamento leve</v>
      </c>
      <c r="L44" s="791">
        <f>'[1]Atualização de custos unitarios'!E87</f>
        <v>19.903300000000002</v>
      </c>
      <c r="M44" s="765">
        <f>ROUND((G44*(1-H44))/(E44*F44),4)</f>
        <v>11.659800000000001</v>
      </c>
      <c r="N44" s="766">
        <f>ROUND((G44*(E44+1)*$J$6)/(2*E44*F44),4)</f>
        <v>3.0607000000000002</v>
      </c>
      <c r="O44" s="785"/>
      <c r="P44" s="766">
        <f>ROUND((G44*J44)/(E44*F44),4)</f>
        <v>10.202299999999999</v>
      </c>
      <c r="Q44" s="766">
        <f>ROUND(0.18*D44*$D$5,4)</f>
        <v>44.813499999999998</v>
      </c>
      <c r="R44" s="773">
        <f>L44</f>
        <v>19.903300000000002</v>
      </c>
      <c r="S44" s="760">
        <f>ROUND(M44+N44+O44+P44+Q44+R44,4)</f>
        <v>89.639600000000002</v>
      </c>
      <c r="T44" s="767">
        <f>ROUND(M44+N44+O44+R44,4)</f>
        <v>34.623800000000003</v>
      </c>
    </row>
    <row r="45" spans="1:20" ht="21" x14ac:dyDescent="0.2">
      <c r="A45" s="1423" t="str">
        <f>'[1]Atualização de custos unitarios'!A47</f>
        <v>DNIT –</v>
      </c>
      <c r="B45" s="793" t="str">
        <f>'[1]Atualização de custos unitarios'!B47</f>
        <v>E9579</v>
      </c>
      <c r="C45" s="756" t="str">
        <f>'[1]Atualização de custos unitarios'!C47</f>
        <v>Caminhão basculante com capacidade de 10 m³ - 188 kW (Atron 2729  - Mercedes-Benz)</v>
      </c>
      <c r="D45" s="794"/>
      <c r="E45" s="795"/>
      <c r="F45" s="795"/>
      <c r="G45" s="796"/>
      <c r="H45" s="797"/>
      <c r="I45" s="798"/>
      <c r="J45" s="798"/>
      <c r="K45" s="799"/>
      <c r="L45" s="800"/>
      <c r="M45" s="796"/>
      <c r="N45" s="796"/>
      <c r="O45" s="801"/>
      <c r="P45" s="796"/>
      <c r="Q45" s="796"/>
      <c r="R45" s="775"/>
      <c r="S45" s="782">
        <f>ROUND(S46+S47,4)</f>
        <v>192.23320000000001</v>
      </c>
      <c r="T45" s="767">
        <f>ROUND(T46+T47,4)</f>
        <v>54.2408</v>
      </c>
    </row>
    <row r="46" spans="1:20" ht="21" x14ac:dyDescent="0.2">
      <c r="A46" s="1423"/>
      <c r="B46" s="793" t="str">
        <f>'[1]Atualização de custos unitarios'!B48</f>
        <v>A9316</v>
      </c>
      <c r="C46" s="756" t="str">
        <f>'[1]Atualização de custos unitarios'!C48</f>
        <v>Caminhão plataforma 8 x 2, PBT 29.000 kg e distância entre eixos 4,8 m - 188 kW - Motorista de caminhão</v>
      </c>
      <c r="D46" s="780">
        <v>188</v>
      </c>
      <c r="E46" s="780">
        <v>7</v>
      </c>
      <c r="F46" s="781">
        <v>2000</v>
      </c>
      <c r="G46" s="782">
        <f>'[1]Atualização de custos unitarios'!E48</f>
        <v>388015.12310000003</v>
      </c>
      <c r="H46" s="783">
        <v>0.4</v>
      </c>
      <c r="I46" s="784" t="s">
        <v>355</v>
      </c>
      <c r="J46" s="784">
        <v>0.9</v>
      </c>
      <c r="K46" s="790" t="str">
        <f>CONCATENATE('[1]Atualização de custos unitarios'!B91," - ",'[1]Atualização de custos unitarios'!C91)</f>
        <v>P9866 - Motorista de caminhão</v>
      </c>
      <c r="L46" s="791">
        <f>'[1]Atualização de custos unitarios'!E91</f>
        <v>24.1953</v>
      </c>
      <c r="M46" s="765">
        <f>ROUND((G46*(1-H46))/(E46*F46),4)</f>
        <v>16.629200000000001</v>
      </c>
      <c r="N46" s="766">
        <f>ROUND((G46*(E46+1)*$J$6)/(2*E46*F46),4)</f>
        <v>6.6516999999999999</v>
      </c>
      <c r="O46" s="802">
        <f>ROUND(((E46+1)*(G46*$D$6))/(2*E46*F46),4)</f>
        <v>2.7715000000000001</v>
      </c>
      <c r="P46" s="766">
        <f>ROUND((G46*J46)/(E46*F46),4)</f>
        <v>24.9438</v>
      </c>
      <c r="Q46" s="766">
        <f>ROUND(0.18*D46*$D$5,4)</f>
        <v>109.4149</v>
      </c>
      <c r="R46" s="782">
        <f>L46</f>
        <v>24.1953</v>
      </c>
      <c r="S46" s="760">
        <f>ROUND(M46+N46+O46+P46+Q46+R46,4)</f>
        <v>184.60640000000001</v>
      </c>
      <c r="T46" s="767">
        <f>ROUND(M46+N46+O46+R46,4)</f>
        <v>50.247700000000002</v>
      </c>
    </row>
    <row r="47" spans="1:20" x14ac:dyDescent="0.2">
      <c r="A47" s="1423"/>
      <c r="B47" s="793" t="str">
        <f>'[1]Atualização de custos unitarios'!B49</f>
        <v>A9342</v>
      </c>
      <c r="C47" s="756" t="str">
        <f>'[1]Atualização de custos unitarios'!C49</f>
        <v>Caçamba basculante com capacidade de 10 m³</v>
      </c>
      <c r="D47" s="757"/>
      <c r="E47" s="780">
        <v>5.3</v>
      </c>
      <c r="F47" s="781">
        <v>2000</v>
      </c>
      <c r="G47" s="782">
        <f>'[1]Atualização de custos unitarios'!E49</f>
        <v>42797.384700000002</v>
      </c>
      <c r="H47" s="783">
        <v>0.2</v>
      </c>
      <c r="I47" s="757"/>
      <c r="J47" s="784">
        <v>0.9</v>
      </c>
      <c r="K47" s="763"/>
      <c r="L47" s="764"/>
      <c r="M47" s="765">
        <f>ROUND((G47*(1-H47))/(E47*F47),4)</f>
        <v>3.23</v>
      </c>
      <c r="N47" s="766">
        <f>ROUND((G47*(E47+1)*$J$6)/(2*E47*F47),4)</f>
        <v>0.7631</v>
      </c>
      <c r="O47" s="785"/>
      <c r="P47" s="766">
        <f>ROUND((G47*J47)/(E47*F47),4)</f>
        <v>3.6337000000000002</v>
      </c>
      <c r="Q47" s="792"/>
      <c r="R47" s="764"/>
      <c r="S47" s="760">
        <f>ROUND(M47+N47+O47+P47+Q47+R47,4)</f>
        <v>7.6268000000000002</v>
      </c>
      <c r="T47" s="767">
        <f>ROUND(M47+N47+O47+R47,4)</f>
        <v>3.9931000000000001</v>
      </c>
    </row>
    <row r="48" spans="1:20" ht="21" x14ac:dyDescent="0.2">
      <c r="A48" s="1423" t="str">
        <f>'[1]Atualização de custos unitarios'!A50</f>
        <v>DNIT –</v>
      </c>
      <c r="B48" s="793" t="str">
        <f>'[1]Atualização de custos unitarios'!B50</f>
        <v>E9592</v>
      </c>
      <c r="C48" s="756" t="str">
        <f>'[1]Atualização de custos unitarios'!C50</f>
        <v>Caminhão carroceria com capacidade de 15 t - 188 kW (Atego 2426 - Mercedes-Benz)</v>
      </c>
      <c r="D48" s="822"/>
      <c r="E48" s="795"/>
      <c r="F48" s="795"/>
      <c r="G48" s="796"/>
      <c r="H48" s="797"/>
      <c r="I48" s="823"/>
      <c r="J48" s="798"/>
      <c r="K48" s="799"/>
      <c r="L48" s="800"/>
      <c r="M48" s="796"/>
      <c r="N48" s="796"/>
      <c r="O48" s="801"/>
      <c r="P48" s="796"/>
      <c r="Q48" s="800"/>
      <c r="R48" s="789"/>
      <c r="S48" s="782">
        <f>ROUND(S49+S50,4)</f>
        <v>195.7038</v>
      </c>
      <c r="T48" s="767">
        <f>ROUND(T49+T50,4)</f>
        <v>56.065399999999997</v>
      </c>
    </row>
    <row r="49" spans="1:20" ht="21" x14ac:dyDescent="0.2">
      <c r="A49" s="1423"/>
      <c r="B49" s="793" t="str">
        <f>'[1]Atualização de custos unitarios'!B51</f>
        <v>A9314</v>
      </c>
      <c r="C49" s="756" t="str">
        <f>'[1]Atualização de custos unitarios'!C51</f>
        <v>Caminhão plataforma 6 x 2, PBT 24.100 kg e distância entre eixos 5,4 m - 188 kW - Motorista de caminhão</v>
      </c>
      <c r="D49" s="780">
        <v>188</v>
      </c>
      <c r="E49" s="780">
        <v>7</v>
      </c>
      <c r="F49" s="781">
        <v>2000</v>
      </c>
      <c r="G49" s="782">
        <f>'[1]Atualização de custos unitarios'!E51</f>
        <v>447747.1568</v>
      </c>
      <c r="H49" s="783">
        <v>0.4</v>
      </c>
      <c r="I49" s="784" t="s">
        <v>355</v>
      </c>
      <c r="J49" s="784">
        <v>0.9</v>
      </c>
      <c r="K49" s="790" t="str">
        <f>CONCATENATE('[1]Atualização de custos unitarios'!B91," - ",'[1]Atualização de custos unitarios'!C91)</f>
        <v>P9866 - Motorista de caminhão</v>
      </c>
      <c r="L49" s="791">
        <f>'[1]Atualização de custos unitarios'!E91</f>
        <v>24.1953</v>
      </c>
      <c r="M49" s="765">
        <f>ROUND((G49*(1-H49))/(E49*F49),4)</f>
        <v>19.1892</v>
      </c>
      <c r="N49" s="766">
        <f>ROUND((G49*(E49+1)*$J$6)/(2*E49*F49),4)</f>
        <v>7.6757</v>
      </c>
      <c r="O49" s="802">
        <f>ROUND(((E49+1)*(G49*$D$6))/(2*E49*F49),4)</f>
        <v>3.1981999999999999</v>
      </c>
      <c r="P49" s="766">
        <f>ROUND((G49*J49)/(E49*F49),4)</f>
        <v>28.7837</v>
      </c>
      <c r="Q49" s="766">
        <f>ROUND(0.18*D49*$D$5,4)</f>
        <v>109.4149</v>
      </c>
      <c r="R49" s="782">
        <f>L49</f>
        <v>24.1953</v>
      </c>
      <c r="S49" s="760">
        <f>ROUND(M49+N49+O49+P49+Q49+R49,4)</f>
        <v>192.45699999999999</v>
      </c>
      <c r="T49" s="767">
        <f>ROUND(M49+N49+O49+R49,4)</f>
        <v>54.258400000000002</v>
      </c>
    </row>
    <row r="50" spans="1:20" x14ac:dyDescent="0.2">
      <c r="A50" s="1423"/>
      <c r="B50" s="793" t="str">
        <f>'[1]Atualização de custos unitarios'!B52</f>
        <v>A9352</v>
      </c>
      <c r="C50" s="756" t="str">
        <f>'[1]Atualização de custos unitarios'!C52</f>
        <v>Carroceria de madeira com capacidade de 15 t</v>
      </c>
      <c r="D50" s="787"/>
      <c r="E50" s="780">
        <v>5.8</v>
      </c>
      <c r="F50" s="781">
        <v>2000</v>
      </c>
      <c r="G50" s="782">
        <f>'[1]Atualização de custos unitarios'!E52</f>
        <v>20877.669999999998</v>
      </c>
      <c r="H50" s="783">
        <v>0.2</v>
      </c>
      <c r="I50" s="787"/>
      <c r="J50" s="784">
        <v>0.8</v>
      </c>
      <c r="K50" s="777"/>
      <c r="L50" s="778"/>
      <c r="M50" s="765">
        <f>ROUND((G50*(1-H50))/(E50*F50),4)</f>
        <v>1.4398</v>
      </c>
      <c r="N50" s="766">
        <f>ROUND((G50*(E50+1)*$J$6)/(2*E50*F50),4)</f>
        <v>0.36720000000000003</v>
      </c>
      <c r="O50" s="785"/>
      <c r="P50" s="766">
        <f>ROUND((G50*J50)/(E50*F50),4)</f>
        <v>1.4398</v>
      </c>
      <c r="Q50" s="792"/>
      <c r="R50" s="764"/>
      <c r="S50" s="760">
        <f>ROUND(M50+N50+O50+P50+Q50+R50,4)</f>
        <v>3.2467999999999999</v>
      </c>
      <c r="T50" s="767">
        <f>ROUND(M50+N50+O50+R50,4)</f>
        <v>1.8069999999999999</v>
      </c>
    </row>
    <row r="51" spans="1:20" x14ac:dyDescent="0.2">
      <c r="A51" s="768" t="str">
        <f>'[1]Atualização de custos unitarios'!A53</f>
        <v>DNIT –</v>
      </c>
      <c r="B51" s="769" t="str">
        <f>'[1]Atualização de custos unitarios'!B53</f>
        <v>E9622</v>
      </c>
      <c r="C51" s="756" t="str">
        <f>'[1]Atualização de custos unitarios'!C53</f>
        <v>Máquina de bancada universal para corte de chapa - 1,5 Kw</v>
      </c>
      <c r="D51" s="803">
        <v>1.5</v>
      </c>
      <c r="E51" s="780">
        <v>7</v>
      </c>
      <c r="F51" s="781">
        <v>2000</v>
      </c>
      <c r="G51" s="782">
        <f>'[1]Atualização de custos unitarios'!E53</f>
        <v>44437.845500000003</v>
      </c>
      <c r="H51" s="783">
        <v>0.2</v>
      </c>
      <c r="I51" s="784" t="s">
        <v>108</v>
      </c>
      <c r="J51" s="784">
        <v>0.6</v>
      </c>
      <c r="K51" s="777"/>
      <c r="L51" s="778"/>
      <c r="M51" s="765">
        <f>ROUND((G51*(1-H51))/(E51*F51),4)</f>
        <v>2.5392999999999999</v>
      </c>
      <c r="N51" s="766">
        <f>ROUND((G51*(E51+1)*$J$6)/(2*E51*F51),4)</f>
        <v>0.76180000000000003</v>
      </c>
      <c r="O51" s="785"/>
      <c r="P51" s="766">
        <f>ROUND((G51*J51)/(E51*F51),4)</f>
        <v>1.9045000000000001</v>
      </c>
      <c r="Q51" s="821"/>
      <c r="R51" s="778"/>
      <c r="S51" s="760">
        <f>ROUND(M51+N51+O51+P51+Q51+R51,4)</f>
        <v>5.2055999999999996</v>
      </c>
      <c r="T51" s="767">
        <f>ROUND(M51+N51+O51+R51,4)</f>
        <v>3.3010999999999999</v>
      </c>
    </row>
    <row r="52" spans="1:20" x14ac:dyDescent="0.2">
      <c r="A52" s="768" t="str">
        <f>'[1]Atualização de custos unitarios'!A54</f>
        <v>DNIT –</v>
      </c>
      <c r="B52" s="769" t="str">
        <f>'[1]Atualização de custos unitarios'!B54</f>
        <v>E9623</v>
      </c>
      <c r="C52" s="756" t="str">
        <f>'[1]Atualização de custos unitarios'!C54</f>
        <v>Máquina de Bancada - guilhotina (4 kW)</v>
      </c>
      <c r="D52" s="780">
        <v>4</v>
      </c>
      <c r="E52" s="780">
        <v>7</v>
      </c>
      <c r="F52" s="781">
        <v>2000</v>
      </c>
      <c r="G52" s="782">
        <f>'[1]Atualização de custos unitarios'!E54</f>
        <v>97639.093999999997</v>
      </c>
      <c r="H52" s="783">
        <v>0.2</v>
      </c>
      <c r="I52" s="784" t="s">
        <v>108</v>
      </c>
      <c r="J52" s="784">
        <v>0.6</v>
      </c>
      <c r="K52" s="777"/>
      <c r="L52" s="778"/>
      <c r="M52" s="765">
        <f>ROUND((G52*(1-H52))/(E52*F52),4)</f>
        <v>5.5793999999999997</v>
      </c>
      <c r="N52" s="766">
        <f>ROUND((G52*(E52+1)*$J$6)/(2*E52*F52),4)</f>
        <v>1.6738</v>
      </c>
      <c r="O52" s="785"/>
      <c r="P52" s="766">
        <f>ROUND((G52*J52)/(E52*F52),4)</f>
        <v>4.1844999999999999</v>
      </c>
      <c r="Q52" s="821"/>
      <c r="R52" s="778"/>
      <c r="S52" s="760">
        <f>ROUND(M52+N52+O52+P52+Q52+R52,4)</f>
        <v>11.4377</v>
      </c>
      <c r="T52" s="767">
        <f>ROUND(M52+N52+O52+R52,4)</f>
        <v>7.2531999999999996</v>
      </c>
    </row>
    <row r="53" spans="1:20" x14ac:dyDescent="0.2">
      <c r="A53" s="768" t="str">
        <f>'[1]Atualização de custos unitarios'!A55</f>
        <v>DNIT –</v>
      </c>
      <c r="B53" s="769" t="str">
        <f>'[1]Atualização de custos unitarios'!B55</f>
        <v>E9647</v>
      </c>
      <c r="C53" s="756" t="str">
        <f>'[1]Atualização de custos unitarios'!C55</f>
        <v>Compactador manual com soquete vibratório - 4,1 kW (CP-80 - Fortemac)</v>
      </c>
      <c r="D53" s="780">
        <v>4.0999999999999996</v>
      </c>
      <c r="E53" s="780">
        <v>6</v>
      </c>
      <c r="F53" s="781">
        <v>2000</v>
      </c>
      <c r="G53" s="782">
        <f>'[1]Atualização de custos unitarios'!E55</f>
        <v>9771.7648000000008</v>
      </c>
      <c r="H53" s="783">
        <v>0.2</v>
      </c>
      <c r="I53" s="784" t="s">
        <v>356</v>
      </c>
      <c r="J53" s="784">
        <v>0.8</v>
      </c>
      <c r="K53" s="777"/>
      <c r="L53" s="778"/>
      <c r="M53" s="765">
        <f>ROUND((G53*(1-H53))/(E53*F53),4)</f>
        <v>0.65149999999999997</v>
      </c>
      <c r="N53" s="766">
        <f>ROUND((G53*(E53+1)*$J$6)/(2*E53*F53),4)</f>
        <v>0.17100000000000001</v>
      </c>
      <c r="O53" s="785"/>
      <c r="P53" s="766">
        <f>ROUND((G53*J53)/(E53*F53),4)</f>
        <v>0.65149999999999997</v>
      </c>
      <c r="Q53" s="773">
        <f>ROUND(0.2*D53*$H$5,4)</f>
        <v>3.3285</v>
      </c>
      <c r="R53" s="777"/>
      <c r="S53" s="760">
        <f>ROUND(M53+N53+O53+P53+Q53+R53,4)</f>
        <v>4.8025000000000002</v>
      </c>
      <c r="T53" s="767">
        <f>ROUND(M53+N53+O53+R53,4)</f>
        <v>0.82250000000000001</v>
      </c>
    </row>
    <row r="54" spans="1:20" ht="21" x14ac:dyDescent="0.2">
      <c r="A54" s="1423" t="str">
        <f>'[1]Atualização de custos unitarios'!A56</f>
        <v>DNIT –</v>
      </c>
      <c r="B54" s="793" t="str">
        <f>'[1]Atualização de custos unitarios'!B56</f>
        <v>E9666</v>
      </c>
      <c r="C54" s="756" t="str">
        <f>'[1]Atualização de custos unitarios'!C56</f>
        <v>Cavalo mecânico com semi-reboque e capacidade de 30 t - 240 kW (Axor 2041 - Mercedes-Benz / Randon)</v>
      </c>
      <c r="D54" s="794"/>
      <c r="E54" s="795"/>
      <c r="F54" s="795"/>
      <c r="G54" s="796"/>
      <c r="H54" s="797"/>
      <c r="I54" s="798"/>
      <c r="J54" s="798"/>
      <c r="K54" s="799"/>
      <c r="L54" s="800"/>
      <c r="M54" s="796"/>
      <c r="N54" s="796"/>
      <c r="O54" s="801"/>
      <c r="P54" s="796"/>
      <c r="Q54" s="800"/>
      <c r="R54" s="789"/>
      <c r="S54" s="782">
        <f>ROUND(S55+S56,4)</f>
        <v>272.46280000000002</v>
      </c>
      <c r="T54" s="767">
        <f>ROUND(T55+T56,4)</f>
        <v>83.802000000000007</v>
      </c>
    </row>
    <row r="55" spans="1:20" ht="21" x14ac:dyDescent="0.2">
      <c r="A55" s="1423"/>
      <c r="B55" s="793" t="str">
        <f>'[1]Atualização de custos unitarios'!B57</f>
        <v>A9318</v>
      </c>
      <c r="C55" s="756" t="str">
        <f>'[1]Atualização de custos unitarios'!C57</f>
        <v>Cavalo mecânico 4 x 2, PBT 16.000 kg - 240 kW - Motorista de veículo especial</v>
      </c>
      <c r="D55" s="780">
        <v>240</v>
      </c>
      <c r="E55" s="780">
        <v>7</v>
      </c>
      <c r="F55" s="781">
        <v>2000</v>
      </c>
      <c r="G55" s="782">
        <f>'[1]Atualização de custos unitarios'!E57</f>
        <v>516209.90429999999</v>
      </c>
      <c r="H55" s="783">
        <v>0.4</v>
      </c>
      <c r="I55" s="784" t="s">
        <v>355</v>
      </c>
      <c r="J55" s="784">
        <v>0.9</v>
      </c>
      <c r="K55" s="790" t="str">
        <f>CONCATENATE('[1]Atualização de custos unitarios'!B93," - ",'[1]Atualização de custos unitarios'!C93)</f>
        <v>P9871 - Motorista de veículo especial</v>
      </c>
      <c r="L55" s="791">
        <f>'[1]Atualização de custos unitarios'!E93</f>
        <v>28.2547</v>
      </c>
      <c r="M55" s="765">
        <f>ROUND((G55*(1-H55))/(E55*F55),4)</f>
        <v>22.1233</v>
      </c>
      <c r="N55" s="766">
        <f>ROUND((G55*(E55+1)*$J$6)/(2*E55*F55),4)</f>
        <v>8.8492999999999995</v>
      </c>
      <c r="O55" s="802">
        <f>ROUND(((E55+1)*(G55*$D$6))/(2*E55*F55),4)</f>
        <v>3.6871999999999998</v>
      </c>
      <c r="P55" s="766">
        <f>ROUND((G55*J55)/(E55*F55),4)</f>
        <v>33.184899999999999</v>
      </c>
      <c r="Q55" s="766">
        <f>ROUND(0.18*D55*$D$5,4)</f>
        <v>139.67859999999999</v>
      </c>
      <c r="R55" s="782">
        <f>L55</f>
        <v>28.2547</v>
      </c>
      <c r="S55" s="760">
        <f>ROUND(M55+N55+O55+P55+Q55+R55,4)</f>
        <v>235.77799999999999</v>
      </c>
      <c r="T55" s="767">
        <f>ROUND(M55+N55+O55+R55,4)</f>
        <v>62.914499999999997</v>
      </c>
    </row>
    <row r="56" spans="1:20" x14ac:dyDescent="0.2">
      <c r="A56" s="1423"/>
      <c r="B56" s="793" t="str">
        <f>'[1]Atualização de custos unitarios'!B58</f>
        <v>A9354</v>
      </c>
      <c r="C56" s="756" t="str">
        <f>'[1]Atualização de custos unitarios'!C58</f>
        <v>Semi-Reboque com 3 eixos</v>
      </c>
      <c r="D56" s="757"/>
      <c r="E56" s="780">
        <v>12</v>
      </c>
      <c r="F56" s="781">
        <v>1000</v>
      </c>
      <c r="G56" s="782">
        <f>'[1]Atualização de custos unitarios'!E58</f>
        <v>210630</v>
      </c>
      <c r="H56" s="783">
        <v>0.2</v>
      </c>
      <c r="I56" s="757"/>
      <c r="J56" s="784">
        <v>0.9</v>
      </c>
      <c r="K56" s="763"/>
      <c r="L56" s="764"/>
      <c r="M56" s="765">
        <f>ROUND((G56*(1-H56))/(E56*F56),4)</f>
        <v>14.042</v>
      </c>
      <c r="N56" s="766">
        <f>ROUND((G56*(E56+1)*$J$6)/(2*E56*F56),4)</f>
        <v>6.8455000000000004</v>
      </c>
      <c r="O56" s="785"/>
      <c r="P56" s="766">
        <f>ROUND((G56*J56)/(E56*F56),4)</f>
        <v>15.7973</v>
      </c>
      <c r="Q56" s="792"/>
      <c r="R56" s="764"/>
      <c r="S56" s="760">
        <f>ROUND(M56+N56+O56+P56+Q56+R56,4)</f>
        <v>36.684800000000003</v>
      </c>
      <c r="T56" s="767">
        <f>ROUND(M56+N56+O56+R56,4)</f>
        <v>20.887499999999999</v>
      </c>
    </row>
    <row r="57" spans="1:20" x14ac:dyDescent="0.2">
      <c r="A57" s="1423" t="str">
        <f>'[1]Atualização de custos unitarios'!A59</f>
        <v>DNIT –</v>
      </c>
      <c r="B57" s="793" t="str">
        <f>'[1]Atualização de custos unitarios'!B59</f>
        <v>E9667</v>
      </c>
      <c r="C57" s="756" t="str">
        <f>'[1]Atualização de custos unitarios'!C59</f>
        <v>Caminhão basculante com capacidade de 14 m³ - 323 kW</v>
      </c>
      <c r="D57" s="822"/>
      <c r="E57" s="795"/>
      <c r="F57" s="795"/>
      <c r="G57" s="796"/>
      <c r="H57" s="797"/>
      <c r="I57" s="823"/>
      <c r="J57" s="798"/>
      <c r="K57" s="799"/>
      <c r="L57" s="800"/>
      <c r="M57" s="796"/>
      <c r="N57" s="796"/>
      <c r="O57" s="801"/>
      <c r="P57" s="796"/>
      <c r="Q57" s="800"/>
      <c r="R57" s="789"/>
      <c r="S57" s="782">
        <f>ROUND(S58+S59,4)</f>
        <v>265.84550000000002</v>
      </c>
      <c r="T57" s="767">
        <f>ROUND(T58+T59,4)</f>
        <v>51.721299999999999</v>
      </c>
    </row>
    <row r="58" spans="1:20" ht="21" x14ac:dyDescent="0.2">
      <c r="A58" s="1423"/>
      <c r="B58" s="793" t="str">
        <f>'[1]Atualização de custos unitarios'!B60</f>
        <v>A9323</v>
      </c>
      <c r="C58" s="756" t="str">
        <f>'[1]Atualização de custos unitarios'!C60</f>
        <v>Caminhão basc. fora de estrada 6x4, PBT 31.500kg, distância entre eixos 3,6m - 323 kW - Motorista de caminhão</v>
      </c>
      <c r="D58" s="780">
        <v>323</v>
      </c>
      <c r="E58" s="780">
        <v>7</v>
      </c>
      <c r="F58" s="781">
        <v>2000</v>
      </c>
      <c r="G58" s="782">
        <f>'[1]Atualização de custos unitarios'!E60</f>
        <v>342566.83299999998</v>
      </c>
      <c r="H58" s="783">
        <v>0.4</v>
      </c>
      <c r="I58" s="784" t="s">
        <v>355</v>
      </c>
      <c r="J58" s="784">
        <v>0.9</v>
      </c>
      <c r="K58" s="790" t="str">
        <f>CONCATENATE('[1]Atualização de custos unitarios'!B91," - ",'[1]Atualização de custos unitarios'!C91)</f>
        <v>P9866 - Motorista de caminhão</v>
      </c>
      <c r="L58" s="791">
        <f>'[1]Atualização de custos unitarios'!E91</f>
        <v>24.1953</v>
      </c>
      <c r="M58" s="765">
        <f>ROUND((G58*(1-H58))/(E58*F58),4)</f>
        <v>14.6814</v>
      </c>
      <c r="N58" s="766">
        <f>ROUND((G58*(E58+1)*$J$6)/(2*E58*F58),4)</f>
        <v>5.8726000000000003</v>
      </c>
      <c r="O58" s="802">
        <f>ROUND(((E58+1)*(G58*$D$6))/(2*E58*F58),4)</f>
        <v>2.4468999999999999</v>
      </c>
      <c r="P58" s="766">
        <f>ROUND((G58*J58)/(E58*F58),4)</f>
        <v>22.022200000000002</v>
      </c>
      <c r="Q58" s="766">
        <f>ROUND(0.18*D58*$D$5,4)</f>
        <v>187.98410000000001</v>
      </c>
      <c r="R58" s="782">
        <f>L58</f>
        <v>24.1953</v>
      </c>
      <c r="S58" s="760">
        <f>ROUND(M58+N58+O58+P58+Q58+R58,4)</f>
        <v>257.20249999999999</v>
      </c>
      <c r="T58" s="767">
        <f>ROUND(M58+N58+O58+R58,4)</f>
        <v>47.196199999999997</v>
      </c>
    </row>
    <row r="59" spans="1:20" x14ac:dyDescent="0.2">
      <c r="A59" s="1423"/>
      <c r="B59" s="793" t="str">
        <f>'[1]Atualização de custos unitarios'!B61</f>
        <v>A9344</v>
      </c>
      <c r="C59" s="756" t="str">
        <f>'[1]Atualização de custos unitarios'!C61</f>
        <v>Caçamba basculante com capacidade de 14 m³</v>
      </c>
      <c r="D59" s="787"/>
      <c r="E59" s="780">
        <v>5.3</v>
      </c>
      <c r="F59" s="781">
        <v>2000</v>
      </c>
      <c r="G59" s="782">
        <f>'[1]Atualização de custos unitarios'!E61</f>
        <v>48499.329400000002</v>
      </c>
      <c r="H59" s="783">
        <v>0.2</v>
      </c>
      <c r="I59" s="787"/>
      <c r="J59" s="784">
        <v>0.9</v>
      </c>
      <c r="K59" s="788"/>
      <c r="L59" s="789"/>
      <c r="M59" s="765">
        <f>ROUND((G59*(1-H59))/(E59*F59),4)</f>
        <v>3.6602999999999999</v>
      </c>
      <c r="N59" s="766">
        <f>ROUND((G59*(E59+1)*$J$6)/(2*E59*F59),4)</f>
        <v>0.86480000000000001</v>
      </c>
      <c r="O59" s="785"/>
      <c r="P59" s="766">
        <f>ROUND((G59*J59)/(E59*F59),4)</f>
        <v>4.1178999999999997</v>
      </c>
      <c r="Q59" s="800"/>
      <c r="R59" s="789"/>
      <c r="S59" s="760">
        <f>ROUND(M59+N59+O59+P59+Q59+R59,4)</f>
        <v>8.6430000000000007</v>
      </c>
      <c r="T59" s="767">
        <f>ROUND(M59+N59+O59+R59,4)</f>
        <v>4.5251000000000001</v>
      </c>
    </row>
    <row r="60" spans="1:20" ht="21" x14ac:dyDescent="0.2">
      <c r="A60" s="768" t="str">
        <f>'[1]Atualização de custos unitarios'!A62</f>
        <v>DNIT –</v>
      </c>
      <c r="B60" s="769" t="str">
        <f>'[1]Atualização de custos unitarios'!B62</f>
        <v>E9684</v>
      </c>
      <c r="C60" s="756" t="str">
        <f>'[1]Atualização de custos unitarios'!C62</f>
        <v>Veículo leve Pick Up 4 x 4 - 147 kW (S10 - Chevrolet 4 x 4 - Cabine Dupla)</v>
      </c>
      <c r="D60" s="780">
        <v>147</v>
      </c>
      <c r="E60" s="780">
        <v>5</v>
      </c>
      <c r="F60" s="781">
        <v>2000</v>
      </c>
      <c r="G60" s="782">
        <f>'[1]Atualização de custos unitarios'!E62</f>
        <v>189545.7965</v>
      </c>
      <c r="H60" s="783">
        <v>0.4</v>
      </c>
      <c r="I60" s="784" t="s">
        <v>355</v>
      </c>
      <c r="J60" s="784">
        <v>0.6</v>
      </c>
      <c r="K60" s="790" t="str">
        <f>CONCATENATE('[1]Atualização de custos unitarios'!B92," - ",'[1]Atualização de custos unitarios'!C92)</f>
        <v>P9870 - Motorista de veículo leve</v>
      </c>
      <c r="L60" s="791">
        <f>'[1]Atualização de custos unitarios'!E92</f>
        <v>21.675799999999999</v>
      </c>
      <c r="M60" s="765">
        <f>ROUND((G60*(1-H60))/(E60*F60),4)</f>
        <v>11.3727</v>
      </c>
      <c r="N60" s="766">
        <f>ROUND((G60*(E60+1)*$J$6)/(2*E60*F60),4)</f>
        <v>3.4117999999999999</v>
      </c>
      <c r="O60" s="802">
        <f>ROUND(((E60+1)*(G60*$D$6))/(2*E60*F60),4)</f>
        <v>1.4216</v>
      </c>
      <c r="P60" s="766">
        <f>ROUND((G60*J60)/(E60*F60),4)</f>
        <v>11.3727</v>
      </c>
      <c r="Q60" s="766">
        <f>ROUND(0.18*D60*$D$5,4)</f>
        <v>85.553100000000001</v>
      </c>
      <c r="R60" s="782">
        <f>L60</f>
        <v>21.675799999999999</v>
      </c>
      <c r="S60" s="760">
        <f>ROUND(M60+N60+O60+P60+Q60+R60,4)</f>
        <v>134.80770000000001</v>
      </c>
      <c r="T60" s="767">
        <f>ROUND(M60+N60+O60+R60,4)</f>
        <v>37.881900000000002</v>
      </c>
    </row>
    <row r="61" spans="1:20" ht="30" x14ac:dyDescent="0.2">
      <c r="A61" s="768" t="str">
        <f>'[1]Atualização de custos unitarios'!A63</f>
        <v>DNIT –</v>
      </c>
      <c r="B61" s="811" t="str">
        <f>'[1]Atualização de custos unitarios'!B63</f>
        <v>E9685</v>
      </c>
      <c r="C61" s="756" t="str">
        <f>'[1]Atualização de custos unitarios'!C63</f>
        <v>Rolo compactador pé de carneiro vibratório autopropelido de 11,6 t - 82 kW (CA 250 D - Dynapac)</v>
      </c>
      <c r="D61" s="780">
        <v>82</v>
      </c>
      <c r="E61" s="780">
        <v>6</v>
      </c>
      <c r="F61" s="781">
        <v>2000</v>
      </c>
      <c r="G61" s="782">
        <f>'[1]Atualização de custos unitarios'!E63</f>
        <v>500742.10979999998</v>
      </c>
      <c r="H61" s="783">
        <v>0.2</v>
      </c>
      <c r="I61" s="784" t="s">
        <v>355</v>
      </c>
      <c r="J61" s="784">
        <v>0.8</v>
      </c>
      <c r="K61" s="790" t="str">
        <f>CONCATENATE('[1]Atualização de custos unitarios'!B88," - ",'[1]Atualização de custos unitarios'!C88)</f>
        <v>P9845 - Operador de equipamento pesado</v>
      </c>
      <c r="L61" s="791">
        <f>'[1]Atualização de custos unitarios'!E88</f>
        <v>26.764600000000002</v>
      </c>
      <c r="M61" s="765">
        <f>ROUND((G61*(1-H61))/(E61*F61),4)</f>
        <v>33.382800000000003</v>
      </c>
      <c r="N61" s="766">
        <f>ROUND((G61*(E61+1)*$J$6)/(2*E61*F61),4)</f>
        <v>8.7629999999999999</v>
      </c>
      <c r="O61" s="757"/>
      <c r="P61" s="766">
        <f>ROUND((G61*J61)/(E61*F61),4)</f>
        <v>33.382800000000003</v>
      </c>
      <c r="Q61" s="766">
        <f>ROUND(0.18*D61*$D$5,4)</f>
        <v>47.723500000000001</v>
      </c>
      <c r="R61" s="782">
        <f>L61</f>
        <v>26.764600000000002</v>
      </c>
      <c r="S61" s="760">
        <f>ROUND(M61+N61+O61+P61+Q61+R61,4)</f>
        <v>150.01669999999999</v>
      </c>
      <c r="T61" s="767">
        <f>ROUND(M61+N61+O61+R61,4)</f>
        <v>68.910399999999996</v>
      </c>
    </row>
    <row r="62" spans="1:20" x14ac:dyDescent="0.2">
      <c r="A62" s="1424" t="str">
        <f>'[1]Atualização de custos unitarios'!A64</f>
        <v>DNIT –</v>
      </c>
      <c r="B62" s="793" t="str">
        <f>'[1]Atualização de custos unitarios'!B64</f>
        <v>E9686</v>
      </c>
      <c r="C62" s="756" t="str">
        <f>'[1]Atualização de custos unitarios'!C64</f>
        <v>Caminhão carroceria com guindauto com capacidade de 20 t.m - 136 kW</v>
      </c>
      <c r="D62" s="794"/>
      <c r="E62" s="795"/>
      <c r="F62" s="795"/>
      <c r="G62" s="796"/>
      <c r="H62" s="797"/>
      <c r="I62" s="798"/>
      <c r="J62" s="798"/>
      <c r="K62" s="799"/>
      <c r="L62" s="800"/>
      <c r="M62" s="796"/>
      <c r="N62" s="796"/>
      <c r="O62" s="801"/>
      <c r="P62" s="796"/>
      <c r="Q62" s="800"/>
      <c r="R62" s="789"/>
      <c r="S62" s="782">
        <f>ROUND(S63+S64+S65,4)</f>
        <v>198.30850000000001</v>
      </c>
      <c r="T62" s="767">
        <f>ROUND(T63+T64+T65,4)</f>
        <v>85.256</v>
      </c>
    </row>
    <row r="63" spans="1:20" ht="21" x14ac:dyDescent="0.2">
      <c r="A63" s="1424"/>
      <c r="B63" s="793" t="str">
        <f>'[1]Atualização de custos unitarios'!B65</f>
        <v>A9308</v>
      </c>
      <c r="C63" s="756" t="str">
        <f>'[1]Atualização de custos unitarios'!C65</f>
        <v>Caminhão plataforma 4 x 2, PBT 17.100 kg e distância entre eixos 4,8 m - 136 kW - Motorista de veículo especial</v>
      </c>
      <c r="D63" s="780">
        <v>136</v>
      </c>
      <c r="E63" s="780">
        <v>7</v>
      </c>
      <c r="F63" s="781">
        <v>2000</v>
      </c>
      <c r="G63" s="782">
        <f>'[1]Atualização de custos unitarios'!E65</f>
        <v>402510.05359999998</v>
      </c>
      <c r="H63" s="783">
        <v>0.4</v>
      </c>
      <c r="I63" s="784" t="s">
        <v>355</v>
      </c>
      <c r="J63" s="784">
        <v>0.9</v>
      </c>
      <c r="K63" s="790" t="str">
        <f>CONCATENATE('[1]Atualização de custos unitarios'!B93," - ",'[1]Atualização de custos unitarios'!C93)</f>
        <v>P9871 - Motorista de veículo especial</v>
      </c>
      <c r="L63" s="791">
        <f>'[1]Atualização de custos unitarios'!E93</f>
        <v>28.2547</v>
      </c>
      <c r="M63" s="765">
        <f>ROUND((G63*(1-H63))/(E63*F63),4)</f>
        <v>17.250399999999999</v>
      </c>
      <c r="N63" s="766">
        <f>ROUND((G63*(E63+1)*$J$6)/(2*E63*F63),4)</f>
        <v>6.9001999999999999</v>
      </c>
      <c r="O63" s="802">
        <f>ROUND(((E63+1)*(G63*$D$6))/(2*E63*F63),4)</f>
        <v>2.8751000000000002</v>
      </c>
      <c r="P63" s="766">
        <f>ROUND((G63*J63)/(E63*F63),4)</f>
        <v>25.875599999999999</v>
      </c>
      <c r="Q63" s="766">
        <f>ROUND(0.18*D63*$D$5,4)</f>
        <v>79.151200000000003</v>
      </c>
      <c r="R63" s="782">
        <f>L63</f>
        <v>28.2547</v>
      </c>
      <c r="S63" s="760">
        <f>ROUND(M63+N63+O63+P63+Q63+R63,4)</f>
        <v>160.30719999999999</v>
      </c>
      <c r="T63" s="767">
        <f>ROUND(M63+N63+O63+R63,4)</f>
        <v>55.2804</v>
      </c>
    </row>
    <row r="64" spans="1:20" ht="30" x14ac:dyDescent="0.2">
      <c r="A64" s="1424"/>
      <c r="B64" s="793" t="str">
        <f>'[1]Atualização de custos unitarios'!B66</f>
        <v>A9372</v>
      </c>
      <c r="C64" s="756" t="str">
        <f>'[1]Atualização de custos unitarios'!C66</f>
        <v>Guindaste articulado montado sobre chassi com capacidade de 20 t.m</v>
      </c>
      <c r="D64" s="757"/>
      <c r="E64" s="780">
        <v>5.8</v>
      </c>
      <c r="F64" s="781">
        <v>2000</v>
      </c>
      <c r="G64" s="782">
        <f>'[1]Atualização de custos unitarios'!E66</f>
        <v>100124.5983</v>
      </c>
      <c r="H64" s="783">
        <v>0.2</v>
      </c>
      <c r="I64" s="757"/>
      <c r="J64" s="784">
        <v>0.8</v>
      </c>
      <c r="K64" s="790" t="str">
        <f>CONCATENATE('[1]Atualização de custos unitarios'!B87," - ",'[1]Atualização de custos unitarios'!C87)</f>
        <v>P9843 - Operador de equipamento leve</v>
      </c>
      <c r="L64" s="791">
        <f>'[1]Atualização de custos unitarios'!E87</f>
        <v>19.903300000000002</v>
      </c>
      <c r="M64" s="765">
        <f>ROUND((G64*(1-H64))/(E64*F64),4)</f>
        <v>6.9051</v>
      </c>
      <c r="N64" s="766">
        <f>ROUND((G64*(E64+1)*$J$6)/(2*E64*F64),4)</f>
        <v>1.7607999999999999</v>
      </c>
      <c r="O64" s="785"/>
      <c r="P64" s="766">
        <f>ROUND((G64*J64)/(E64*F64),4)</f>
        <v>6.9051</v>
      </c>
      <c r="Q64" s="757"/>
      <c r="R64" s="766">
        <f>L64</f>
        <v>19.903300000000002</v>
      </c>
      <c r="S64" s="760">
        <f>ROUND(M64+N64+O64+P64+Q64+R64,4)</f>
        <v>35.474299999999999</v>
      </c>
      <c r="T64" s="767">
        <f>ROUND(M64+N64+O64+R64,4)</f>
        <v>28.569199999999999</v>
      </c>
    </row>
    <row r="65" spans="1:20" x14ac:dyDescent="0.2">
      <c r="A65" s="1424"/>
      <c r="B65" s="793" t="str">
        <f>'[1]Atualização de custos unitarios'!B67</f>
        <v>A9349</v>
      </c>
      <c r="C65" s="756" t="str">
        <f>'[1]Atualização de custos unitarios'!C67</f>
        <v>Carroceria de madeira com capacidade de 7 t</v>
      </c>
      <c r="D65" s="785"/>
      <c r="E65" s="780">
        <v>5.8</v>
      </c>
      <c r="F65" s="781">
        <v>2000</v>
      </c>
      <c r="G65" s="782">
        <f>'[1]Atualização de custos unitarios'!E67</f>
        <v>16248.6</v>
      </c>
      <c r="H65" s="783">
        <v>0.2</v>
      </c>
      <c r="I65" s="785"/>
      <c r="J65" s="784">
        <v>0.8</v>
      </c>
      <c r="K65" s="763"/>
      <c r="L65" s="764"/>
      <c r="M65" s="765">
        <f>ROUND((G65*(1-H65))/(E65*F65),4)</f>
        <v>1.1206</v>
      </c>
      <c r="N65" s="766">
        <f>ROUND((G65*(E65+1)*$J$6)/(2*E65*F65),4)</f>
        <v>0.2858</v>
      </c>
      <c r="O65" s="785"/>
      <c r="P65" s="766">
        <f>ROUND((G65*J65)/(E65*F65),4)</f>
        <v>1.1206</v>
      </c>
      <c r="Q65" s="777"/>
      <c r="R65" s="778"/>
      <c r="S65" s="760">
        <f>ROUND(M65+N65+O65+P65+Q65+R65,4)</f>
        <v>2.5270000000000001</v>
      </c>
      <c r="T65" s="767">
        <f>ROUND(M65+N65+O65+R65,4)</f>
        <v>1.4064000000000001</v>
      </c>
    </row>
    <row r="66" spans="1:20" ht="21" x14ac:dyDescent="0.2">
      <c r="A66" s="1423" t="str">
        <f>'[1]Atualização de custos unitarios'!A68</f>
        <v>DNIT –</v>
      </c>
      <c r="B66" s="793" t="str">
        <f>'[1]Atualização de custos unitarios'!B68</f>
        <v>E9687</v>
      </c>
      <c r="C66" s="756" t="str">
        <f>'[1]Atualização de custos unitarios'!C68</f>
        <v>Caminhão carroceria com capacidade de 5 t - 115 Kw (Accelo 815 - Mercedes-Benz</v>
      </c>
      <c r="D66" s="822"/>
      <c r="E66" s="795"/>
      <c r="F66" s="795"/>
      <c r="G66" s="796"/>
      <c r="H66" s="797"/>
      <c r="I66" s="823"/>
      <c r="J66" s="798"/>
      <c r="K66" s="799"/>
      <c r="L66" s="800"/>
      <c r="M66" s="796"/>
      <c r="N66" s="796"/>
      <c r="O66" s="801"/>
      <c r="P66" s="796"/>
      <c r="Q66" s="800"/>
      <c r="R66" s="789"/>
      <c r="S66" s="782">
        <f>ROUND(S67+S68,4)</f>
        <v>135.44540000000001</v>
      </c>
      <c r="T66" s="767">
        <f>ROUND(T67+T68,4)</f>
        <v>48.924700000000001</v>
      </c>
    </row>
    <row r="67" spans="1:20" ht="21" x14ac:dyDescent="0.2">
      <c r="A67" s="1423"/>
      <c r="B67" s="793" t="str">
        <f>'[1]Atualização de custos unitarios'!B69</f>
        <v>A9303</v>
      </c>
      <c r="C67" s="756" t="str">
        <f>'[1]Atualização de custos unitarios'!C69</f>
        <v>Caminhão plataforma 4 x 2, PBT 9.600 kg e distância entre eixos 3,7 m - 115 kW - Motorista de veículo especial</v>
      </c>
      <c r="D67" s="780">
        <v>115</v>
      </c>
      <c r="E67" s="780">
        <v>7</v>
      </c>
      <c r="F67" s="781">
        <v>2000</v>
      </c>
      <c r="G67" s="782">
        <f>'[1]Atualização de custos unitarios'!E69</f>
        <v>289406.8653</v>
      </c>
      <c r="H67" s="783">
        <v>0.4</v>
      </c>
      <c r="I67" s="784" t="s">
        <v>355</v>
      </c>
      <c r="J67" s="784">
        <v>0.9</v>
      </c>
      <c r="K67" s="790" t="str">
        <f>CONCATENATE('[1]Atualização de custos unitarios'!B93," - ",'[1]Atualização de custos unitarios'!C93)</f>
        <v>P9871 - Motorista de veículo especial</v>
      </c>
      <c r="L67" s="791">
        <f>'[1]Atualização de custos unitarios'!E93</f>
        <v>28.2547</v>
      </c>
      <c r="M67" s="765">
        <f>ROUND((G67*(1-H67))/(E67*F67),4)</f>
        <v>12.4032</v>
      </c>
      <c r="N67" s="766">
        <f>ROUND((G67*(E67+1)*$J$6)/(2*E67*F67),4)</f>
        <v>4.9612999999999996</v>
      </c>
      <c r="O67" s="802">
        <f>ROUND(((E67+1)*(G67*$D$6))/(2*E67*F67),4)</f>
        <v>2.0672000000000001</v>
      </c>
      <c r="P67" s="766">
        <f>ROUND((G67*J67)/(E67*F67),4)</f>
        <v>18.604700000000001</v>
      </c>
      <c r="Q67" s="766">
        <f>ROUND(0.18*D67*$D$5,4)</f>
        <v>66.929299999999998</v>
      </c>
      <c r="R67" s="782">
        <f>L67</f>
        <v>28.2547</v>
      </c>
      <c r="S67" s="760">
        <f>ROUND(M67+N67+O67+P67+Q67+R67,4)</f>
        <v>133.22040000000001</v>
      </c>
      <c r="T67" s="767">
        <f>ROUND(M67+N67+O67+R67,4)</f>
        <v>47.686399999999999</v>
      </c>
    </row>
    <row r="68" spans="1:20" x14ac:dyDescent="0.2">
      <c r="A68" s="1423"/>
      <c r="B68" s="793" t="str">
        <f>'[1]Atualização de custos unitarios'!B70</f>
        <v>A9348</v>
      </c>
      <c r="C68" s="756" t="str">
        <f>'[1]Atualização de custos unitarios'!C70</f>
        <v>Carroceria de madeira com capacidade de 5 t</v>
      </c>
      <c r="D68" s="787"/>
      <c r="E68" s="780">
        <v>5.8</v>
      </c>
      <c r="F68" s="781">
        <v>2000</v>
      </c>
      <c r="G68" s="782">
        <f>'[1]Atualização de custos unitarios'!E70</f>
        <v>14307.0427</v>
      </c>
      <c r="H68" s="783">
        <v>0.2</v>
      </c>
      <c r="I68" s="787"/>
      <c r="J68" s="784">
        <v>0.8</v>
      </c>
      <c r="K68" s="788"/>
      <c r="L68" s="789"/>
      <c r="M68" s="765">
        <f>ROUND((G68*(1-H68))/(E68*F68),4)</f>
        <v>0.98670000000000002</v>
      </c>
      <c r="N68" s="766">
        <f>ROUND((G68*(E68+1)*$J$6)/(2*E68*F68),4)</f>
        <v>0.25159999999999999</v>
      </c>
      <c r="O68" s="757"/>
      <c r="P68" s="766">
        <f>ROUND((G68*J68)/(E68*F68),4)</f>
        <v>0.98670000000000002</v>
      </c>
      <c r="Q68" s="800"/>
      <c r="R68" s="789"/>
      <c r="S68" s="760">
        <f>ROUND(M68+N68+O68+P68+Q68+R68,4)</f>
        <v>2.2250000000000001</v>
      </c>
      <c r="T68" s="767">
        <f>ROUND(M68+N68+O68+R68,4)</f>
        <v>1.2383</v>
      </c>
    </row>
    <row r="69" spans="1:20" ht="30" x14ac:dyDescent="0.2">
      <c r="A69" s="768" t="str">
        <f>'[1]Atualização de custos unitarios'!A71</f>
        <v>DNIT –</v>
      </c>
      <c r="B69" s="811" t="str">
        <f>'[1]Atualização de custos unitarios'!B71</f>
        <v>E9762</v>
      </c>
      <c r="C69" s="756" t="str">
        <f>'[1]Atualização de custos unitarios'!C71</f>
        <v>Rolo compactador de pneus autopropelido de 27 t - 85 kW</v>
      </c>
      <c r="D69" s="780">
        <v>85</v>
      </c>
      <c r="E69" s="780">
        <v>6</v>
      </c>
      <c r="F69" s="781">
        <v>2000</v>
      </c>
      <c r="G69" s="782">
        <f>'[1]Atualização de custos unitarios'!E71</f>
        <v>529427.90980000002</v>
      </c>
      <c r="H69" s="783">
        <v>0.2</v>
      </c>
      <c r="I69" s="784" t="s">
        <v>355</v>
      </c>
      <c r="J69" s="784">
        <v>0.8</v>
      </c>
      <c r="K69" s="790" t="str">
        <f>CONCATENATE('[1]Atualização de custos unitarios'!B88," - ",'[1]Atualização de custos unitarios'!C88)</f>
        <v>P9845 - Operador de equipamento pesado</v>
      </c>
      <c r="L69" s="791">
        <f>'[1]Atualização de custos unitarios'!E88</f>
        <v>26.764600000000002</v>
      </c>
      <c r="M69" s="765">
        <f>ROUND((G69*(1-H69))/(E69*F69),4)</f>
        <v>35.295200000000001</v>
      </c>
      <c r="N69" s="766">
        <f>ROUND((G69*(E69+1)*$J$6)/(2*E69*F69),4)</f>
        <v>9.2650000000000006</v>
      </c>
      <c r="O69" s="770"/>
      <c r="P69" s="766">
        <f>ROUND((G69*J69)/(E69*F69),4)</f>
        <v>35.295200000000001</v>
      </c>
      <c r="Q69" s="766">
        <f>ROUND(0.18*D69*$D$5,4)</f>
        <v>49.469499999999996</v>
      </c>
      <c r="R69" s="782">
        <f>L69</f>
        <v>26.764600000000002</v>
      </c>
      <c r="S69" s="760">
        <f>ROUND(M69+N69+O69+P69+Q69+R69,4)</f>
        <v>156.08949999999999</v>
      </c>
      <c r="T69" s="767">
        <f>ROUND(M69+N69+O69+R69,4)</f>
        <v>71.324799999999996</v>
      </c>
    </row>
    <row r="70" spans="1:20" x14ac:dyDescent="0.2">
      <c r="A70" s="736"/>
      <c r="B70" s="737"/>
      <c r="C70" s="824"/>
      <c r="D70" s="825"/>
      <c r="E70" s="825"/>
      <c r="F70" s="825"/>
      <c r="G70" s="826"/>
      <c r="H70" s="827"/>
      <c r="I70" s="828"/>
      <c r="J70" s="828"/>
      <c r="K70" s="828"/>
      <c r="L70" s="825"/>
      <c r="M70" s="825"/>
      <c r="N70" s="825"/>
      <c r="O70" s="825"/>
      <c r="P70" s="825"/>
      <c r="Q70" s="825"/>
      <c r="R70" s="825"/>
      <c r="S70" s="825"/>
      <c r="T70" s="829"/>
    </row>
    <row r="71" spans="1:20" x14ac:dyDescent="0.2">
      <c r="A71" s="548"/>
      <c r="B71" s="548"/>
      <c r="C71" s="548"/>
      <c r="D71" s="830"/>
      <c r="E71" s="830"/>
      <c r="F71" s="830"/>
      <c r="G71" s="830"/>
      <c r="H71" s="830"/>
      <c r="I71" s="830"/>
      <c r="J71" s="830"/>
      <c r="K71" s="830"/>
      <c r="L71" s="830"/>
      <c r="M71" s="830"/>
      <c r="N71" s="830"/>
      <c r="O71" s="830"/>
      <c r="P71" s="830"/>
      <c r="Q71" s="830"/>
      <c r="R71" s="830"/>
      <c r="S71" s="830"/>
      <c r="T71" s="830"/>
    </row>
    <row r="72" spans="1:20" x14ac:dyDescent="0.2">
      <c r="A72" s="831" t="s">
        <v>357</v>
      </c>
      <c r="B72" s="832"/>
      <c r="C72" s="832"/>
      <c r="D72" s="833"/>
      <c r="E72" s="833"/>
      <c r="F72" s="832"/>
      <c r="G72" s="832"/>
      <c r="H72" s="833"/>
      <c r="I72" s="833"/>
      <c r="J72" s="833"/>
      <c r="K72" s="833"/>
      <c r="L72" s="833"/>
      <c r="M72" s="833"/>
      <c r="N72" s="833"/>
      <c r="O72" s="833"/>
      <c r="P72" s="830"/>
      <c r="Q72" s="830"/>
      <c r="R72" s="830"/>
      <c r="S72" s="830"/>
      <c r="T72" s="830"/>
    </row>
    <row r="73" spans="1:20" x14ac:dyDescent="0.2">
      <c r="A73" s="832"/>
      <c r="B73" s="832"/>
      <c r="C73" s="832"/>
      <c r="D73" s="832"/>
      <c r="E73" s="832"/>
      <c r="F73" s="832"/>
      <c r="G73" s="832"/>
      <c r="H73" s="832"/>
      <c r="I73" s="832"/>
      <c r="J73" s="832"/>
      <c r="K73" s="832"/>
      <c r="L73" s="832"/>
      <c r="M73" s="832"/>
      <c r="N73" s="832"/>
      <c r="O73" s="832"/>
      <c r="P73" s="548"/>
      <c r="Q73" s="548"/>
      <c r="R73" s="548"/>
      <c r="S73" s="548"/>
      <c r="T73" s="548"/>
    </row>
    <row r="74" spans="1:20" ht="24" customHeight="1" x14ac:dyDescent="0.2">
      <c r="A74" s="834" t="s">
        <v>358</v>
      </c>
      <c r="B74" s="1425" t="s">
        <v>359</v>
      </c>
      <c r="C74" s="1425"/>
      <c r="D74" s="1425"/>
      <c r="E74" s="1425"/>
      <c r="F74" s="1425"/>
      <c r="G74" s="1425"/>
      <c r="H74" s="1425"/>
      <c r="I74" s="1425"/>
      <c r="J74" s="1425"/>
      <c r="K74" s="1425"/>
      <c r="L74" s="1425"/>
      <c r="M74" s="1425"/>
      <c r="N74" s="1425"/>
      <c r="O74" s="1425"/>
      <c r="P74" s="1425"/>
      <c r="Q74" s="1425"/>
      <c r="R74" s="1425"/>
      <c r="S74" s="1425"/>
      <c r="T74" s="1425"/>
    </row>
    <row r="75" spans="1:20" x14ac:dyDescent="0.2">
      <c r="A75" s="548"/>
      <c r="B75" s="548"/>
      <c r="C75" s="548"/>
      <c r="D75" s="548"/>
      <c r="E75" s="548"/>
      <c r="F75" s="548"/>
      <c r="G75" s="548"/>
      <c r="H75" s="548"/>
      <c r="I75" s="548"/>
      <c r="J75" s="548"/>
      <c r="K75" s="548"/>
      <c r="L75" s="548"/>
      <c r="M75" s="548"/>
      <c r="N75" s="548"/>
      <c r="O75" s="548"/>
      <c r="P75" s="548"/>
      <c r="Q75" s="548"/>
      <c r="R75" s="548"/>
      <c r="S75" s="548"/>
      <c r="T75" s="548"/>
    </row>
  </sheetData>
  <mergeCells count="26">
    <mergeCell ref="D1:N1"/>
    <mergeCell ref="C4:T4"/>
    <mergeCell ref="O5:T6"/>
    <mergeCell ref="A7:B8"/>
    <mergeCell ref="C7:C8"/>
    <mergeCell ref="D7:D8"/>
    <mergeCell ref="E7:E8"/>
    <mergeCell ref="F7:F8"/>
    <mergeCell ref="G7:G8"/>
    <mergeCell ref="H7:H8"/>
    <mergeCell ref="I7:I8"/>
    <mergeCell ref="J7:J8"/>
    <mergeCell ref="K7:L8"/>
    <mergeCell ref="M7:O7"/>
    <mergeCell ref="P7:P8"/>
    <mergeCell ref="Q7:R7"/>
    <mergeCell ref="S7:T7"/>
    <mergeCell ref="A18:A20"/>
    <mergeCell ref="A39:A41"/>
    <mergeCell ref="A45:A47"/>
    <mergeCell ref="A48:A50"/>
    <mergeCell ref="A54:A56"/>
    <mergeCell ref="A57:A59"/>
    <mergeCell ref="A62:A65"/>
    <mergeCell ref="A66:A68"/>
    <mergeCell ref="B74:T74"/>
  </mergeCells>
  <printOptions horizontalCentered="1" verticalCentered="1"/>
  <pageMargins left="0.39374999999999999" right="0.39374999999999999" top="0.39374999999999999" bottom="0.39374999999999999" header="0.51180555555555496" footer="0.51180555555555496"/>
  <pageSetup paperSize="9" scale="55" firstPageNumber="0" orientation="landscape"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35"/>
  <sheetViews>
    <sheetView zoomScale="83" zoomScaleNormal="83" workbookViewId="0"/>
  </sheetViews>
  <sheetFormatPr defaultRowHeight="15" x14ac:dyDescent="0.2"/>
  <cols>
    <col min="1" max="1" width="7.26171875" style="835" customWidth="1"/>
    <col min="2" max="2" width="7.6640625" style="835" customWidth="1"/>
    <col min="3" max="3" width="10.76171875" style="835" customWidth="1"/>
    <col min="4" max="4" width="12.375" style="835" customWidth="1"/>
    <col min="5" max="5" width="46.54296875" style="835" customWidth="1"/>
    <col min="6" max="6" width="20.71484375" style="835" customWidth="1"/>
    <col min="7" max="7" width="8.7421875" style="835" customWidth="1"/>
    <col min="8" max="18" width="10.76171875" style="835" customWidth="1"/>
    <col min="19" max="19" width="9.55078125" style="835" customWidth="1"/>
    <col min="20" max="1025" width="8.7421875" customWidth="1"/>
  </cols>
  <sheetData>
    <row r="1" spans="1:19" x14ac:dyDescent="0.2">
      <c r="A1" s="836"/>
      <c r="B1" s="836"/>
      <c r="C1" s="836"/>
      <c r="D1" s="836"/>
      <c r="E1" s="836"/>
      <c r="F1" s="837"/>
      <c r="G1" s="837"/>
      <c r="H1" s="837"/>
      <c r="I1" s="837"/>
      <c r="J1" s="837"/>
      <c r="K1" s="837"/>
      <c r="L1" s="837"/>
      <c r="M1" s="837"/>
      <c r="N1" s="837"/>
      <c r="O1" s="837"/>
      <c r="P1" s="837"/>
      <c r="Q1" s="837"/>
      <c r="R1" s="837"/>
      <c r="S1" s="837"/>
    </row>
    <row r="2" spans="1:19" x14ac:dyDescent="0.2">
      <c r="A2" s="836"/>
      <c r="B2" s="836"/>
      <c r="C2" s="836"/>
      <c r="D2" s="836"/>
      <c r="E2" s="836"/>
      <c r="F2" s="837"/>
      <c r="G2" s="837"/>
      <c r="H2" s="837"/>
      <c r="I2" s="837"/>
      <c r="J2" s="837"/>
      <c r="K2" s="837"/>
      <c r="L2" s="837"/>
      <c r="M2" s="837"/>
      <c r="N2" s="837"/>
      <c r="O2" s="837"/>
      <c r="P2" s="837"/>
      <c r="Q2" s="837"/>
      <c r="R2" s="837"/>
      <c r="S2" s="837"/>
    </row>
    <row r="3" spans="1:19" x14ac:dyDescent="0.2">
      <c r="A3" s="836"/>
      <c r="B3" s="836"/>
      <c r="C3" s="836"/>
      <c r="D3" s="836"/>
      <c r="E3" s="836"/>
      <c r="F3" s="837" t="s">
        <v>629</v>
      </c>
      <c r="G3" s="837"/>
      <c r="H3" s="837"/>
      <c r="I3" s="837"/>
      <c r="J3" s="837"/>
      <c r="K3" s="837"/>
      <c r="L3" s="837"/>
      <c r="M3" s="837"/>
      <c r="N3" s="837"/>
      <c r="O3" s="837"/>
      <c r="P3" s="837"/>
      <c r="Q3" s="837"/>
      <c r="R3" s="837"/>
      <c r="S3" s="837"/>
    </row>
    <row r="4" spans="1:19" x14ac:dyDescent="0.2">
      <c r="A4" s="836"/>
      <c r="B4" s="836"/>
      <c r="C4" s="836"/>
      <c r="D4" s="836"/>
      <c r="E4" s="1441" t="s">
        <v>360</v>
      </c>
      <c r="F4" s="1441"/>
      <c r="G4" s="1441"/>
      <c r="H4" s="1441"/>
      <c r="I4" s="1441"/>
      <c r="J4" s="1441"/>
      <c r="K4" s="1441"/>
      <c r="L4" s="1441"/>
      <c r="M4" s="1441"/>
      <c r="N4" s="1441"/>
      <c r="O4" s="1441"/>
      <c r="P4" s="1441"/>
      <c r="Q4" s="1441"/>
      <c r="R4" s="1441"/>
      <c r="S4" s="1441"/>
    </row>
    <row r="5" spans="1:19" ht="14.65" customHeight="1" x14ac:dyDescent="0.2">
      <c r="A5" s="1442" t="s">
        <v>361</v>
      </c>
      <c r="B5" s="1442"/>
      <c r="C5" s="1442"/>
      <c r="D5" s="1442"/>
      <c r="E5" s="1442"/>
      <c r="F5" s="1443" t="s">
        <v>335</v>
      </c>
      <c r="G5" s="1443"/>
      <c r="H5" s="1443"/>
      <c r="I5" s="1444" t="s">
        <v>362</v>
      </c>
      <c r="J5" s="1444"/>
      <c r="K5" s="1445" t="s">
        <v>347</v>
      </c>
      <c r="L5" s="1445"/>
      <c r="M5" s="1446" t="s">
        <v>363</v>
      </c>
      <c r="N5" s="1446" t="s">
        <v>364</v>
      </c>
      <c r="O5" s="1446" t="s">
        <v>365</v>
      </c>
      <c r="P5" s="1445" t="s">
        <v>366</v>
      </c>
      <c r="Q5" s="1445"/>
      <c r="R5" s="1446" t="s">
        <v>367</v>
      </c>
      <c r="S5" s="1447" t="s">
        <v>368</v>
      </c>
    </row>
    <row r="6" spans="1:19" ht="36" x14ac:dyDescent="0.2">
      <c r="A6" s="1448" t="s">
        <v>334</v>
      </c>
      <c r="B6" s="1448"/>
      <c r="C6" s="839" t="s">
        <v>369</v>
      </c>
      <c r="D6" s="1449" t="s">
        <v>370</v>
      </c>
      <c r="E6" s="1449"/>
      <c r="F6" s="1449" t="s">
        <v>371</v>
      </c>
      <c r="G6" s="1449"/>
      <c r="H6" s="840" t="s">
        <v>372</v>
      </c>
      <c r="I6" s="840" t="s">
        <v>373</v>
      </c>
      <c r="J6" s="840" t="s">
        <v>374</v>
      </c>
      <c r="K6" s="841" t="s">
        <v>375</v>
      </c>
      <c r="L6" s="842" t="s">
        <v>376</v>
      </c>
      <c r="M6" s="1446"/>
      <c r="N6" s="1446"/>
      <c r="O6" s="1446"/>
      <c r="P6" s="841" t="s">
        <v>377</v>
      </c>
      <c r="Q6" s="841" t="s">
        <v>378</v>
      </c>
      <c r="R6" s="1446"/>
      <c r="S6" s="1447"/>
    </row>
    <row r="7" spans="1:19" x14ac:dyDescent="0.2">
      <c r="A7" s="843"/>
      <c r="B7" s="844"/>
      <c r="C7" s="844"/>
      <c r="D7" s="844"/>
      <c r="E7" s="845"/>
      <c r="F7" s="845"/>
      <c r="G7" s="844"/>
      <c r="H7" s="838"/>
      <c r="I7" s="846"/>
      <c r="J7" s="846"/>
      <c r="K7" s="847"/>
      <c r="L7" s="847"/>
      <c r="M7" s="847"/>
      <c r="N7" s="847"/>
      <c r="O7" s="847"/>
      <c r="P7" s="848"/>
      <c r="Q7" s="849"/>
      <c r="R7" s="850"/>
      <c r="S7" s="851"/>
    </row>
    <row r="8" spans="1:19" ht="24.75" x14ac:dyDescent="0.2">
      <c r="A8" s="852" t="s">
        <v>379</v>
      </c>
      <c r="B8" s="853">
        <v>5914404</v>
      </c>
      <c r="C8" s="854" t="s">
        <v>380</v>
      </c>
      <c r="D8" s="855" t="s">
        <v>381</v>
      </c>
      <c r="E8" s="856" t="s">
        <v>382</v>
      </c>
      <c r="F8" s="1437" t="s">
        <v>630</v>
      </c>
      <c r="G8" s="1438" t="s">
        <v>631</v>
      </c>
      <c r="H8" s="1439">
        <v>1</v>
      </c>
      <c r="I8" s="1440">
        <v>1</v>
      </c>
      <c r="J8" s="1440">
        <v>0</v>
      </c>
      <c r="K8" s="1436">
        <v>159.31229999999999</v>
      </c>
      <c r="L8" s="1436">
        <v>52.926499999999997</v>
      </c>
      <c r="M8" s="1436">
        <f>H8*I8*K8+H8*J8*L8</f>
        <v>159.31229999999999</v>
      </c>
      <c r="N8" s="857">
        <v>149.4</v>
      </c>
      <c r="O8" s="858">
        <f>ROUND(M8/N8,4)</f>
        <v>1.0663</v>
      </c>
      <c r="P8" s="859">
        <v>4.8980000000000003E-2</v>
      </c>
      <c r="Q8" s="860">
        <f>ROUND(O8*P8,4)</f>
        <v>5.2200000000000003E-2</v>
      </c>
      <c r="R8" s="861">
        <f t="shared" ref="R8:R34" si="0">ROUND(O8+Q8,4)</f>
        <v>1.1185</v>
      </c>
      <c r="S8" s="862">
        <f t="shared" ref="S8:S34" si="1">ROUND(R8,2)</f>
        <v>1.1200000000000001</v>
      </c>
    </row>
    <row r="9" spans="1:19" ht="24.75" x14ac:dyDescent="0.2">
      <c r="A9" s="863" t="s">
        <v>379</v>
      </c>
      <c r="B9" s="864">
        <v>5914419</v>
      </c>
      <c r="C9" s="865" t="s">
        <v>383</v>
      </c>
      <c r="D9" s="866" t="s">
        <v>381</v>
      </c>
      <c r="E9" s="867" t="s">
        <v>384</v>
      </c>
      <c r="F9" s="1437"/>
      <c r="G9" s="1438"/>
      <c r="H9" s="1439"/>
      <c r="I9" s="1440"/>
      <c r="J9" s="1440"/>
      <c r="K9" s="1436"/>
      <c r="L9" s="1436"/>
      <c r="M9" s="1436"/>
      <c r="N9" s="868">
        <v>186.75</v>
      </c>
      <c r="O9" s="869">
        <f>ROUND(M8/N9,4)</f>
        <v>0.85309999999999997</v>
      </c>
      <c r="P9" s="870">
        <v>4.8980000000000003E-2</v>
      </c>
      <c r="Q9" s="871">
        <f>ROUND(O9*P9,4)</f>
        <v>4.1799999999999997E-2</v>
      </c>
      <c r="R9" s="872">
        <f t="shared" si="0"/>
        <v>0.89490000000000003</v>
      </c>
      <c r="S9" s="873">
        <f t="shared" si="1"/>
        <v>0.89</v>
      </c>
    </row>
    <row r="10" spans="1:19" ht="24.75" x14ac:dyDescent="0.2">
      <c r="A10" s="874" t="s">
        <v>379</v>
      </c>
      <c r="B10" s="875">
        <v>5914434</v>
      </c>
      <c r="C10" s="876" t="s">
        <v>385</v>
      </c>
      <c r="D10" s="877" t="s">
        <v>381</v>
      </c>
      <c r="E10" s="878" t="s">
        <v>386</v>
      </c>
      <c r="F10" s="1437"/>
      <c r="G10" s="1438"/>
      <c r="H10" s="1439"/>
      <c r="I10" s="1440"/>
      <c r="J10" s="1440"/>
      <c r="K10" s="1436"/>
      <c r="L10" s="1436"/>
      <c r="M10" s="1436"/>
      <c r="N10" s="879">
        <v>224.1</v>
      </c>
      <c r="O10" s="880">
        <f>ROUND(M8/N10,4)</f>
        <v>0.71089999999999998</v>
      </c>
      <c r="P10" s="881"/>
      <c r="Q10" s="882"/>
      <c r="R10" s="883">
        <f t="shared" si="0"/>
        <v>0.71089999999999998</v>
      </c>
      <c r="S10" s="884">
        <f t="shared" si="1"/>
        <v>0.71</v>
      </c>
    </row>
    <row r="11" spans="1:19" ht="24.75" x14ac:dyDescent="0.2">
      <c r="A11" s="852" t="s">
        <v>379</v>
      </c>
      <c r="B11" s="853">
        <v>5915466</v>
      </c>
      <c r="C11" s="854" t="s">
        <v>380</v>
      </c>
      <c r="D11" s="855" t="s">
        <v>387</v>
      </c>
      <c r="E11" s="856" t="s">
        <v>388</v>
      </c>
      <c r="F11" s="1437" t="s">
        <v>632</v>
      </c>
      <c r="G11" s="1438" t="s">
        <v>633</v>
      </c>
      <c r="H11" s="1439">
        <v>1</v>
      </c>
      <c r="I11" s="1440">
        <v>1</v>
      </c>
      <c r="J11" s="1440">
        <v>0</v>
      </c>
      <c r="K11" s="1436">
        <v>204.17570000000001</v>
      </c>
      <c r="L11" s="1436">
        <v>60.8142</v>
      </c>
      <c r="M11" s="1436">
        <f>H11*I11*K11+H11*J11*L11</f>
        <v>204.17570000000001</v>
      </c>
      <c r="N11" s="885">
        <v>166</v>
      </c>
      <c r="O11" s="858">
        <f>ROUND(M11/N11,4)</f>
        <v>1.23</v>
      </c>
      <c r="P11" s="859">
        <v>4.8980000000000003E-2</v>
      </c>
      <c r="Q11" s="860">
        <f>ROUND(O11*P11,4)</f>
        <v>6.0199999999999997E-2</v>
      </c>
      <c r="R11" s="861">
        <f t="shared" si="0"/>
        <v>1.2902</v>
      </c>
      <c r="S11" s="862">
        <f t="shared" si="1"/>
        <v>1.29</v>
      </c>
    </row>
    <row r="12" spans="1:19" ht="24.75" x14ac:dyDescent="0.2">
      <c r="A12" s="863" t="s">
        <v>379</v>
      </c>
      <c r="B12" s="864">
        <v>5915467</v>
      </c>
      <c r="C12" s="865" t="s">
        <v>383</v>
      </c>
      <c r="D12" s="866" t="s">
        <v>387</v>
      </c>
      <c r="E12" s="867" t="s">
        <v>389</v>
      </c>
      <c r="F12" s="1437"/>
      <c r="G12" s="1438"/>
      <c r="H12" s="1439"/>
      <c r="I12" s="1440"/>
      <c r="J12" s="1440"/>
      <c r="K12" s="1436"/>
      <c r="L12" s="1436"/>
      <c r="M12" s="1436"/>
      <c r="N12" s="886">
        <v>207.5</v>
      </c>
      <c r="O12" s="869">
        <f>ROUND(M11/N12,4)</f>
        <v>0.98399999999999999</v>
      </c>
      <c r="P12" s="870">
        <v>4.8980000000000003E-2</v>
      </c>
      <c r="Q12" s="871">
        <f>ROUND(O12*P12,4)</f>
        <v>4.82E-2</v>
      </c>
      <c r="R12" s="872">
        <f t="shared" si="0"/>
        <v>1.0322</v>
      </c>
      <c r="S12" s="873">
        <f t="shared" si="1"/>
        <v>1.03</v>
      </c>
    </row>
    <row r="13" spans="1:19" ht="24.75" x14ac:dyDescent="0.2">
      <c r="A13" s="874" t="s">
        <v>379</v>
      </c>
      <c r="B13" s="875">
        <v>5915468</v>
      </c>
      <c r="C13" s="876" t="s">
        <v>385</v>
      </c>
      <c r="D13" s="877" t="s">
        <v>387</v>
      </c>
      <c r="E13" s="878" t="s">
        <v>390</v>
      </c>
      <c r="F13" s="1437"/>
      <c r="G13" s="1438"/>
      <c r="H13" s="1439"/>
      <c r="I13" s="1440"/>
      <c r="J13" s="1440"/>
      <c r="K13" s="1436"/>
      <c r="L13" s="1436"/>
      <c r="M13" s="1436"/>
      <c r="N13" s="887">
        <v>249</v>
      </c>
      <c r="O13" s="880">
        <f>ROUND(M11/N13,4)</f>
        <v>0.82</v>
      </c>
      <c r="P13" s="881"/>
      <c r="Q13" s="882"/>
      <c r="R13" s="883">
        <f t="shared" si="0"/>
        <v>0.82</v>
      </c>
      <c r="S13" s="884">
        <f t="shared" si="1"/>
        <v>0.82</v>
      </c>
    </row>
    <row r="14" spans="1:19" ht="24.75" x14ac:dyDescent="0.2">
      <c r="A14" s="852" t="s">
        <v>379</v>
      </c>
      <c r="B14" s="853">
        <v>5914359</v>
      </c>
      <c r="C14" s="854" t="s">
        <v>380</v>
      </c>
      <c r="D14" s="855" t="s">
        <v>391</v>
      </c>
      <c r="E14" s="888" t="s">
        <v>392</v>
      </c>
      <c r="F14" s="1437" t="s">
        <v>634</v>
      </c>
      <c r="G14" s="1438" t="s">
        <v>635</v>
      </c>
      <c r="H14" s="1439">
        <v>1</v>
      </c>
      <c r="I14" s="1440">
        <v>1</v>
      </c>
      <c r="J14" s="1440">
        <v>0</v>
      </c>
      <c r="K14" s="1436">
        <v>192.23320000000001</v>
      </c>
      <c r="L14" s="1436">
        <v>54.2408</v>
      </c>
      <c r="M14" s="1436">
        <f>H14*I14*K14+H14*J14*L14</f>
        <v>192.23320000000001</v>
      </c>
      <c r="N14" s="857">
        <v>249</v>
      </c>
      <c r="O14" s="858">
        <f>ROUND(M14/N14,4)</f>
        <v>0.77200000000000002</v>
      </c>
      <c r="P14" s="859">
        <v>4.8980000000000003E-2</v>
      </c>
      <c r="Q14" s="860">
        <f>ROUND(O14*P14,4)</f>
        <v>3.78E-2</v>
      </c>
      <c r="R14" s="861">
        <f t="shared" si="0"/>
        <v>0.80979999999999996</v>
      </c>
      <c r="S14" s="862">
        <f t="shared" si="1"/>
        <v>0.81</v>
      </c>
    </row>
    <row r="15" spans="1:19" ht="24.75" x14ac:dyDescent="0.2">
      <c r="A15" s="863" t="s">
        <v>379</v>
      </c>
      <c r="B15" s="864">
        <v>5914374</v>
      </c>
      <c r="C15" s="865" t="s">
        <v>383</v>
      </c>
      <c r="D15" s="866" t="s">
        <v>391</v>
      </c>
      <c r="E15" s="889" t="s">
        <v>393</v>
      </c>
      <c r="F15" s="1437"/>
      <c r="G15" s="1438"/>
      <c r="H15" s="1439"/>
      <c r="I15" s="1440"/>
      <c r="J15" s="1440"/>
      <c r="K15" s="1436"/>
      <c r="L15" s="1436"/>
      <c r="M15" s="1436"/>
      <c r="N15" s="868">
        <v>311.25</v>
      </c>
      <c r="O15" s="869">
        <f>ROUND(M14/N15,4)</f>
        <v>0.61760000000000004</v>
      </c>
      <c r="P15" s="870">
        <v>4.8980000000000003E-2</v>
      </c>
      <c r="Q15" s="871">
        <f>ROUND(O15*P15,4)</f>
        <v>3.0300000000000001E-2</v>
      </c>
      <c r="R15" s="872">
        <f t="shared" si="0"/>
        <v>0.64790000000000003</v>
      </c>
      <c r="S15" s="873">
        <f t="shared" si="1"/>
        <v>0.65</v>
      </c>
    </row>
    <row r="16" spans="1:19" ht="24.75" x14ac:dyDescent="0.2">
      <c r="A16" s="874" t="s">
        <v>379</v>
      </c>
      <c r="B16" s="875">
        <v>5914389</v>
      </c>
      <c r="C16" s="876" t="s">
        <v>385</v>
      </c>
      <c r="D16" s="877" t="s">
        <v>391</v>
      </c>
      <c r="E16" s="890" t="s">
        <v>394</v>
      </c>
      <c r="F16" s="1437"/>
      <c r="G16" s="1438"/>
      <c r="H16" s="1439"/>
      <c r="I16" s="1440"/>
      <c r="J16" s="1440"/>
      <c r="K16" s="1436"/>
      <c r="L16" s="1436"/>
      <c r="M16" s="1436"/>
      <c r="N16" s="879">
        <v>373.5</v>
      </c>
      <c r="O16" s="880">
        <f>ROUND(M14/N16,4)</f>
        <v>0.51470000000000005</v>
      </c>
      <c r="P16" s="881"/>
      <c r="Q16" s="882"/>
      <c r="R16" s="883">
        <f t="shared" si="0"/>
        <v>0.51470000000000005</v>
      </c>
      <c r="S16" s="884">
        <f t="shared" si="1"/>
        <v>0.51</v>
      </c>
    </row>
    <row r="17" spans="1:19" ht="24.75" x14ac:dyDescent="0.2">
      <c r="A17" s="852" t="s">
        <v>379</v>
      </c>
      <c r="B17" s="853">
        <v>5914638</v>
      </c>
      <c r="C17" s="854" t="s">
        <v>380</v>
      </c>
      <c r="D17" s="855" t="s">
        <v>395</v>
      </c>
      <c r="E17" s="888" t="s">
        <v>396</v>
      </c>
      <c r="F17" s="1437" t="s">
        <v>636</v>
      </c>
      <c r="G17" s="1438" t="s">
        <v>637</v>
      </c>
      <c r="H17" s="1439">
        <v>1</v>
      </c>
      <c r="I17" s="1440">
        <v>1</v>
      </c>
      <c r="J17" s="1440">
        <v>0</v>
      </c>
      <c r="K17" s="1436">
        <v>272.46280000000002</v>
      </c>
      <c r="L17" s="1436">
        <v>83.802000000000007</v>
      </c>
      <c r="M17" s="1436">
        <f>H17*I17*K17+H17*J17*L17</f>
        <v>272.46280000000002</v>
      </c>
      <c r="N17" s="857">
        <v>494.68</v>
      </c>
      <c r="O17" s="858">
        <f>ROUND(M17/N17,4)</f>
        <v>0.55079999999999996</v>
      </c>
      <c r="P17" s="859">
        <v>4.8980000000000003E-2</v>
      </c>
      <c r="Q17" s="860">
        <f>ROUND(O17*P17,4)</f>
        <v>2.7E-2</v>
      </c>
      <c r="R17" s="861">
        <f t="shared" si="0"/>
        <v>0.57779999999999998</v>
      </c>
      <c r="S17" s="862">
        <f t="shared" si="1"/>
        <v>0.57999999999999996</v>
      </c>
    </row>
    <row r="18" spans="1:19" ht="24.75" x14ac:dyDescent="0.2">
      <c r="A18" s="863" t="s">
        <v>379</v>
      </c>
      <c r="B18" s="864">
        <v>5914639</v>
      </c>
      <c r="C18" s="865" t="s">
        <v>383</v>
      </c>
      <c r="D18" s="866" t="s">
        <v>395</v>
      </c>
      <c r="E18" s="889" t="s">
        <v>397</v>
      </c>
      <c r="F18" s="1437"/>
      <c r="G18" s="1438"/>
      <c r="H18" s="1439"/>
      <c r="I18" s="1440"/>
      <c r="J18" s="1440"/>
      <c r="K18" s="1436"/>
      <c r="L18" s="1436"/>
      <c r="M18" s="1436"/>
      <c r="N18" s="868">
        <v>618.35</v>
      </c>
      <c r="O18" s="869">
        <f>ROUND(M17/N18,4)</f>
        <v>0.44059999999999999</v>
      </c>
      <c r="P18" s="870">
        <v>4.8980000000000003E-2</v>
      </c>
      <c r="Q18" s="871">
        <f>ROUND(O18*P18,4)</f>
        <v>2.1600000000000001E-2</v>
      </c>
      <c r="R18" s="872">
        <f t="shared" si="0"/>
        <v>0.4622</v>
      </c>
      <c r="S18" s="873">
        <f t="shared" si="1"/>
        <v>0.46</v>
      </c>
    </row>
    <row r="19" spans="1:19" ht="24.75" x14ac:dyDescent="0.2">
      <c r="A19" s="874" t="s">
        <v>379</v>
      </c>
      <c r="B19" s="875">
        <v>5914640</v>
      </c>
      <c r="C19" s="876" t="s">
        <v>385</v>
      </c>
      <c r="D19" s="877" t="s">
        <v>395</v>
      </c>
      <c r="E19" s="890" t="s">
        <v>398</v>
      </c>
      <c r="F19" s="1437"/>
      <c r="G19" s="1438"/>
      <c r="H19" s="1439"/>
      <c r="I19" s="1440"/>
      <c r="J19" s="1440"/>
      <c r="K19" s="1436"/>
      <c r="L19" s="1436"/>
      <c r="M19" s="1436"/>
      <c r="N19" s="879">
        <v>742.02</v>
      </c>
      <c r="O19" s="880">
        <f>ROUND(M17/N19,4)</f>
        <v>0.36720000000000003</v>
      </c>
      <c r="P19" s="881"/>
      <c r="Q19" s="882"/>
      <c r="R19" s="883">
        <f t="shared" si="0"/>
        <v>0.36720000000000003</v>
      </c>
      <c r="S19" s="884">
        <f t="shared" si="1"/>
        <v>0.37</v>
      </c>
    </row>
    <row r="20" spans="1:19" ht="24.75" x14ac:dyDescent="0.2">
      <c r="A20" s="852" t="s">
        <v>379</v>
      </c>
      <c r="B20" s="853">
        <v>5915319</v>
      </c>
      <c r="C20" s="854" t="s">
        <v>380</v>
      </c>
      <c r="D20" s="855" t="s">
        <v>399</v>
      </c>
      <c r="E20" s="856" t="s">
        <v>400</v>
      </c>
      <c r="F20" s="1437" t="s">
        <v>638</v>
      </c>
      <c r="G20" s="1438" t="s">
        <v>639</v>
      </c>
      <c r="H20" s="1439">
        <v>1</v>
      </c>
      <c r="I20" s="1440">
        <v>1</v>
      </c>
      <c r="J20" s="1440">
        <v>0</v>
      </c>
      <c r="K20" s="1436">
        <v>265.84550000000002</v>
      </c>
      <c r="L20" s="1436">
        <v>51.721299999999999</v>
      </c>
      <c r="M20" s="1436">
        <f>H20*I20*K20+H20*J20*L20</f>
        <v>265.84550000000002</v>
      </c>
      <c r="N20" s="857">
        <v>348.6</v>
      </c>
      <c r="O20" s="858">
        <f>ROUND(M20/N20,4)</f>
        <v>0.76259999999999994</v>
      </c>
      <c r="P20" s="859">
        <v>4.8980000000000003E-2</v>
      </c>
      <c r="Q20" s="860">
        <f>ROUND(O20*P20,4)</f>
        <v>3.7400000000000003E-2</v>
      </c>
      <c r="R20" s="861">
        <f t="shared" si="0"/>
        <v>0.8</v>
      </c>
      <c r="S20" s="862">
        <f t="shared" si="1"/>
        <v>0.8</v>
      </c>
    </row>
    <row r="21" spans="1:19" ht="24.75" x14ac:dyDescent="0.2">
      <c r="A21" s="863" t="s">
        <v>379</v>
      </c>
      <c r="B21" s="864">
        <v>5915320</v>
      </c>
      <c r="C21" s="865" t="s">
        <v>383</v>
      </c>
      <c r="D21" s="866" t="s">
        <v>399</v>
      </c>
      <c r="E21" s="867" t="s">
        <v>401</v>
      </c>
      <c r="F21" s="1437"/>
      <c r="G21" s="1438"/>
      <c r="H21" s="1439"/>
      <c r="I21" s="1440"/>
      <c r="J21" s="1440"/>
      <c r="K21" s="1436"/>
      <c r="L21" s="1436"/>
      <c r="M21" s="1436"/>
      <c r="N21" s="868">
        <v>435.75</v>
      </c>
      <c r="O21" s="869">
        <f>ROUND(M20/N21,4)</f>
        <v>0.61009999999999998</v>
      </c>
      <c r="P21" s="870">
        <v>4.8980000000000003E-2</v>
      </c>
      <c r="Q21" s="871">
        <f>ROUND(O21*P21,4)</f>
        <v>2.9899999999999999E-2</v>
      </c>
      <c r="R21" s="872">
        <f t="shared" si="0"/>
        <v>0.64</v>
      </c>
      <c r="S21" s="873">
        <f t="shared" si="1"/>
        <v>0.64</v>
      </c>
    </row>
    <row r="22" spans="1:19" ht="24.75" x14ac:dyDescent="0.2">
      <c r="A22" s="874" t="s">
        <v>379</v>
      </c>
      <c r="B22" s="875">
        <v>5915321</v>
      </c>
      <c r="C22" s="876" t="s">
        <v>385</v>
      </c>
      <c r="D22" s="877" t="s">
        <v>399</v>
      </c>
      <c r="E22" s="878" t="s">
        <v>402</v>
      </c>
      <c r="F22" s="1437"/>
      <c r="G22" s="1438"/>
      <c r="H22" s="1439"/>
      <c r="I22" s="1440"/>
      <c r="J22" s="1440"/>
      <c r="K22" s="1436"/>
      <c r="L22" s="1436"/>
      <c r="M22" s="1436"/>
      <c r="N22" s="879">
        <v>552.9</v>
      </c>
      <c r="O22" s="880">
        <f>ROUND(M20/N22,4)</f>
        <v>0.48080000000000001</v>
      </c>
      <c r="P22" s="881"/>
      <c r="Q22" s="882"/>
      <c r="R22" s="883">
        <f t="shared" si="0"/>
        <v>0.48080000000000001</v>
      </c>
      <c r="S22" s="884">
        <f t="shared" si="1"/>
        <v>0.48</v>
      </c>
    </row>
    <row r="23" spans="1:19" ht="24.75" x14ac:dyDescent="0.2">
      <c r="A23" s="852" t="s">
        <v>379</v>
      </c>
      <c r="B23" s="853">
        <v>5915485</v>
      </c>
      <c r="C23" s="854" t="s">
        <v>380</v>
      </c>
      <c r="D23" s="855" t="s">
        <v>403</v>
      </c>
      <c r="E23" s="856" t="s">
        <v>404</v>
      </c>
      <c r="F23" s="1437" t="s">
        <v>640</v>
      </c>
      <c r="G23" s="1438" t="s">
        <v>641</v>
      </c>
      <c r="H23" s="1439">
        <v>1</v>
      </c>
      <c r="I23" s="1440">
        <v>1</v>
      </c>
      <c r="J23" s="1440">
        <v>0</v>
      </c>
      <c r="K23" s="1436">
        <v>134.80770000000001</v>
      </c>
      <c r="L23" s="1436">
        <v>37.881900000000002</v>
      </c>
      <c r="M23" s="1436">
        <f>H23*I23*K23+H23*J23*L23</f>
        <v>134.80770000000001</v>
      </c>
      <c r="N23" s="857">
        <v>16.600000000000001</v>
      </c>
      <c r="O23" s="858">
        <f>ROUND(M23/N23,4)</f>
        <v>8.1209000000000007</v>
      </c>
      <c r="P23" s="859">
        <v>4.8980000000000003E-2</v>
      </c>
      <c r="Q23" s="860">
        <f>ROUND(O23*P23,4)</f>
        <v>0.39779999999999999</v>
      </c>
      <c r="R23" s="861">
        <f t="shared" si="0"/>
        <v>8.5187000000000008</v>
      </c>
      <c r="S23" s="862">
        <f t="shared" si="1"/>
        <v>8.52</v>
      </c>
    </row>
    <row r="24" spans="1:19" ht="24.75" x14ac:dyDescent="0.2">
      <c r="A24" s="863" t="s">
        <v>379</v>
      </c>
      <c r="B24" s="864">
        <v>5915486</v>
      </c>
      <c r="C24" s="865" t="s">
        <v>383</v>
      </c>
      <c r="D24" s="866" t="s">
        <v>403</v>
      </c>
      <c r="E24" s="867" t="s">
        <v>405</v>
      </c>
      <c r="F24" s="1437"/>
      <c r="G24" s="1438"/>
      <c r="H24" s="1439"/>
      <c r="I24" s="1440"/>
      <c r="J24" s="1440"/>
      <c r="K24" s="1436"/>
      <c r="L24" s="1436"/>
      <c r="M24" s="1436"/>
      <c r="N24" s="868">
        <v>20.75</v>
      </c>
      <c r="O24" s="869">
        <f>ROUND(M23/N24,4)</f>
        <v>6.4968000000000004</v>
      </c>
      <c r="P24" s="870">
        <v>4.8980000000000003E-2</v>
      </c>
      <c r="Q24" s="871">
        <f>ROUND(O24*P24,4)</f>
        <v>0.31819999999999998</v>
      </c>
      <c r="R24" s="872">
        <f t="shared" si="0"/>
        <v>6.8150000000000004</v>
      </c>
      <c r="S24" s="873">
        <f t="shared" si="1"/>
        <v>6.82</v>
      </c>
    </row>
    <row r="25" spans="1:19" ht="24.75" x14ac:dyDescent="0.2">
      <c r="A25" s="874" t="s">
        <v>379</v>
      </c>
      <c r="B25" s="875">
        <v>5915487</v>
      </c>
      <c r="C25" s="876" t="s">
        <v>385</v>
      </c>
      <c r="D25" s="877" t="s">
        <v>403</v>
      </c>
      <c r="E25" s="878" t="s">
        <v>406</v>
      </c>
      <c r="F25" s="1437"/>
      <c r="G25" s="1438"/>
      <c r="H25" s="1439"/>
      <c r="I25" s="1440"/>
      <c r="J25" s="1440"/>
      <c r="K25" s="1436"/>
      <c r="L25" s="1436"/>
      <c r="M25" s="1436"/>
      <c r="N25" s="879">
        <v>24.9</v>
      </c>
      <c r="O25" s="880">
        <f>ROUND(M23/N25,4)</f>
        <v>5.4139999999999997</v>
      </c>
      <c r="P25" s="881"/>
      <c r="Q25" s="882"/>
      <c r="R25" s="883">
        <f t="shared" si="0"/>
        <v>5.4139999999999997</v>
      </c>
      <c r="S25" s="884">
        <f t="shared" si="1"/>
        <v>5.41</v>
      </c>
    </row>
    <row r="26" spans="1:19" ht="24.75" x14ac:dyDescent="0.2">
      <c r="A26" s="852" t="s">
        <v>379</v>
      </c>
      <c r="B26" s="853">
        <v>5914584</v>
      </c>
      <c r="C26" s="854" t="s">
        <v>380</v>
      </c>
      <c r="D26" s="855" t="s">
        <v>407</v>
      </c>
      <c r="E26" s="856" t="s">
        <v>408</v>
      </c>
      <c r="F26" s="1437" t="s">
        <v>642</v>
      </c>
      <c r="G26" s="1438" t="s">
        <v>643</v>
      </c>
      <c r="H26" s="1439">
        <v>1</v>
      </c>
      <c r="I26" s="1440">
        <v>1</v>
      </c>
      <c r="J26" s="1440">
        <v>0</v>
      </c>
      <c r="K26" s="1436">
        <v>198.30850000000001</v>
      </c>
      <c r="L26" s="1436">
        <v>85.256</v>
      </c>
      <c r="M26" s="1436">
        <f>H26*I26*K26+H26*J26*L26</f>
        <v>198.30850000000001</v>
      </c>
      <c r="N26" s="857">
        <v>116.2</v>
      </c>
      <c r="O26" s="858">
        <f>ROUND(M26/N26,4)</f>
        <v>1.7065999999999999</v>
      </c>
      <c r="P26" s="859">
        <v>4.8980000000000003E-2</v>
      </c>
      <c r="Q26" s="860">
        <f>ROUND(O26*P26,4)</f>
        <v>8.3599999999999994E-2</v>
      </c>
      <c r="R26" s="861">
        <f t="shared" si="0"/>
        <v>1.7902</v>
      </c>
      <c r="S26" s="862">
        <f t="shared" si="1"/>
        <v>1.79</v>
      </c>
    </row>
    <row r="27" spans="1:19" ht="24.75" x14ac:dyDescent="0.2">
      <c r="A27" s="863" t="s">
        <v>379</v>
      </c>
      <c r="B27" s="864">
        <v>5914599</v>
      </c>
      <c r="C27" s="865" t="s">
        <v>383</v>
      </c>
      <c r="D27" s="866" t="s">
        <v>407</v>
      </c>
      <c r="E27" s="867" t="s">
        <v>409</v>
      </c>
      <c r="F27" s="1437"/>
      <c r="G27" s="1438"/>
      <c r="H27" s="1439"/>
      <c r="I27" s="1440"/>
      <c r="J27" s="1440"/>
      <c r="K27" s="1436"/>
      <c r="L27" s="1436"/>
      <c r="M27" s="1436"/>
      <c r="N27" s="868">
        <v>145.25</v>
      </c>
      <c r="O27" s="869">
        <f>ROUND(M26/N27,4)</f>
        <v>1.3653</v>
      </c>
      <c r="P27" s="870">
        <v>4.8980000000000003E-2</v>
      </c>
      <c r="Q27" s="871">
        <f>ROUND(O27*P27,4)</f>
        <v>6.6900000000000001E-2</v>
      </c>
      <c r="R27" s="872">
        <f t="shared" si="0"/>
        <v>1.4321999999999999</v>
      </c>
      <c r="S27" s="873">
        <f t="shared" si="1"/>
        <v>1.43</v>
      </c>
    </row>
    <row r="28" spans="1:19" ht="24.75" x14ac:dyDescent="0.2">
      <c r="A28" s="874" t="s">
        <v>379</v>
      </c>
      <c r="B28" s="875">
        <v>5914614</v>
      </c>
      <c r="C28" s="876" t="s">
        <v>385</v>
      </c>
      <c r="D28" s="877" t="s">
        <v>407</v>
      </c>
      <c r="E28" s="878" t="s">
        <v>410</v>
      </c>
      <c r="F28" s="1437"/>
      <c r="G28" s="1438"/>
      <c r="H28" s="1439"/>
      <c r="I28" s="1440"/>
      <c r="J28" s="1440"/>
      <c r="K28" s="1436"/>
      <c r="L28" s="1436"/>
      <c r="M28" s="1436"/>
      <c r="N28" s="879">
        <v>174.3</v>
      </c>
      <c r="O28" s="880">
        <f>ROUND(M26/N28,4)</f>
        <v>1.1376999999999999</v>
      </c>
      <c r="P28" s="881"/>
      <c r="Q28" s="882"/>
      <c r="R28" s="883">
        <f t="shared" si="0"/>
        <v>1.1376999999999999</v>
      </c>
      <c r="S28" s="884">
        <f t="shared" si="1"/>
        <v>1.1399999999999999</v>
      </c>
    </row>
    <row r="29" spans="1:19" ht="24.75" x14ac:dyDescent="0.2">
      <c r="A29" s="852" t="s">
        <v>379</v>
      </c>
      <c r="B29" s="853">
        <v>5915322</v>
      </c>
      <c r="C29" s="854" t="s">
        <v>380</v>
      </c>
      <c r="D29" s="855" t="s">
        <v>411</v>
      </c>
      <c r="E29" s="856" t="s">
        <v>412</v>
      </c>
      <c r="F29" s="1437" t="s">
        <v>644</v>
      </c>
      <c r="G29" s="1438" t="s">
        <v>645</v>
      </c>
      <c r="H29" s="1439">
        <v>1</v>
      </c>
      <c r="I29" s="1440">
        <v>1</v>
      </c>
      <c r="J29" s="1440">
        <v>0</v>
      </c>
      <c r="K29" s="1436">
        <v>135.44540000000001</v>
      </c>
      <c r="L29" s="1436">
        <v>48.924700000000001</v>
      </c>
      <c r="M29" s="1436">
        <f>H29*I29*K29+H29*J29*L29</f>
        <v>135.44540000000001</v>
      </c>
      <c r="N29" s="857">
        <v>83</v>
      </c>
      <c r="O29" s="858">
        <f>ROUND(M29/N29,4)</f>
        <v>1.6318999999999999</v>
      </c>
      <c r="P29" s="859">
        <v>4.8980000000000003E-2</v>
      </c>
      <c r="Q29" s="860">
        <f>ROUND(O29*P29,4)</f>
        <v>7.9899999999999999E-2</v>
      </c>
      <c r="R29" s="861">
        <f t="shared" si="0"/>
        <v>1.7118</v>
      </c>
      <c r="S29" s="862">
        <f t="shared" si="1"/>
        <v>1.71</v>
      </c>
    </row>
    <row r="30" spans="1:19" ht="24.75" x14ac:dyDescent="0.2">
      <c r="A30" s="863" t="s">
        <v>379</v>
      </c>
      <c r="B30" s="864">
        <v>5915323</v>
      </c>
      <c r="C30" s="865" t="s">
        <v>383</v>
      </c>
      <c r="D30" s="866" t="s">
        <v>411</v>
      </c>
      <c r="E30" s="867" t="s">
        <v>413</v>
      </c>
      <c r="F30" s="1437"/>
      <c r="G30" s="1438"/>
      <c r="H30" s="1439"/>
      <c r="I30" s="1440"/>
      <c r="J30" s="1440"/>
      <c r="K30" s="1436"/>
      <c r="L30" s="1436"/>
      <c r="M30" s="1436"/>
      <c r="N30" s="868">
        <v>103.75</v>
      </c>
      <c r="O30" s="869">
        <f>ROUND(M29/N30,4)</f>
        <v>1.3055000000000001</v>
      </c>
      <c r="P30" s="870">
        <v>4.8980000000000003E-2</v>
      </c>
      <c r="Q30" s="871">
        <f>ROUND(O30*P30,4)</f>
        <v>6.3899999999999998E-2</v>
      </c>
      <c r="R30" s="872">
        <f t="shared" si="0"/>
        <v>1.3694</v>
      </c>
      <c r="S30" s="873">
        <f t="shared" si="1"/>
        <v>1.37</v>
      </c>
    </row>
    <row r="31" spans="1:19" ht="24.75" x14ac:dyDescent="0.2">
      <c r="A31" s="874" t="s">
        <v>379</v>
      </c>
      <c r="B31" s="875">
        <v>5915324</v>
      </c>
      <c r="C31" s="876" t="s">
        <v>385</v>
      </c>
      <c r="D31" s="877" t="s">
        <v>411</v>
      </c>
      <c r="E31" s="878" t="s">
        <v>414</v>
      </c>
      <c r="F31" s="1437"/>
      <c r="G31" s="1438"/>
      <c r="H31" s="1439"/>
      <c r="I31" s="1440"/>
      <c r="J31" s="1440"/>
      <c r="K31" s="1436"/>
      <c r="L31" s="1436"/>
      <c r="M31" s="1436"/>
      <c r="N31" s="879">
        <v>124.5</v>
      </c>
      <c r="O31" s="880">
        <f>ROUND(M29/N31,4)</f>
        <v>1.0879000000000001</v>
      </c>
      <c r="P31" s="881"/>
      <c r="Q31" s="882"/>
      <c r="R31" s="883">
        <f t="shared" si="0"/>
        <v>1.0879000000000001</v>
      </c>
      <c r="S31" s="884">
        <f t="shared" si="1"/>
        <v>1.0900000000000001</v>
      </c>
    </row>
    <row r="32" spans="1:19" ht="24.75" x14ac:dyDescent="0.2">
      <c r="A32" s="852" t="s">
        <v>379</v>
      </c>
      <c r="B32" s="853">
        <v>5914449</v>
      </c>
      <c r="C32" s="854" t="s">
        <v>380</v>
      </c>
      <c r="D32" s="855" t="s">
        <v>415</v>
      </c>
      <c r="E32" s="856" t="s">
        <v>416</v>
      </c>
      <c r="F32" s="1437" t="s">
        <v>646</v>
      </c>
      <c r="G32" s="1438" t="s">
        <v>647</v>
      </c>
      <c r="H32" s="1439">
        <v>1</v>
      </c>
      <c r="I32" s="1440">
        <v>1</v>
      </c>
      <c r="J32" s="1440">
        <v>0</v>
      </c>
      <c r="K32" s="1436">
        <v>195.7038</v>
      </c>
      <c r="L32" s="1436">
        <v>56.065399999999997</v>
      </c>
      <c r="M32" s="1436">
        <f>H32*I32*K32+H32*J32*L32</f>
        <v>195.7038</v>
      </c>
      <c r="N32" s="857">
        <v>249</v>
      </c>
      <c r="O32" s="858">
        <f>ROUND(M32/N32,4)</f>
        <v>0.78600000000000003</v>
      </c>
      <c r="P32" s="859">
        <v>4.8980000000000003E-2</v>
      </c>
      <c r="Q32" s="860">
        <f>ROUND(O32*P32,4)</f>
        <v>3.85E-2</v>
      </c>
      <c r="R32" s="861">
        <f t="shared" si="0"/>
        <v>0.82450000000000001</v>
      </c>
      <c r="S32" s="862">
        <f t="shared" si="1"/>
        <v>0.82</v>
      </c>
    </row>
    <row r="33" spans="1:19" ht="24.75" x14ac:dyDescent="0.2">
      <c r="A33" s="863" t="s">
        <v>379</v>
      </c>
      <c r="B33" s="864">
        <v>5914464</v>
      </c>
      <c r="C33" s="865" t="s">
        <v>383</v>
      </c>
      <c r="D33" s="866" t="s">
        <v>415</v>
      </c>
      <c r="E33" s="867" t="s">
        <v>417</v>
      </c>
      <c r="F33" s="1437"/>
      <c r="G33" s="1438"/>
      <c r="H33" s="1439"/>
      <c r="I33" s="1440"/>
      <c r="J33" s="1440"/>
      <c r="K33" s="1436"/>
      <c r="L33" s="1436"/>
      <c r="M33" s="1436"/>
      <c r="N33" s="868">
        <v>311.25</v>
      </c>
      <c r="O33" s="869">
        <f>ROUND(M32/N33,4)</f>
        <v>0.62880000000000003</v>
      </c>
      <c r="P33" s="870">
        <v>4.8980000000000003E-2</v>
      </c>
      <c r="Q33" s="871">
        <f>ROUND(O33*P33,4)</f>
        <v>3.0800000000000001E-2</v>
      </c>
      <c r="R33" s="872">
        <f t="shared" si="0"/>
        <v>0.65959999999999996</v>
      </c>
      <c r="S33" s="873">
        <f t="shared" si="1"/>
        <v>0.66</v>
      </c>
    </row>
    <row r="34" spans="1:19" ht="24.75" x14ac:dyDescent="0.2">
      <c r="A34" s="874" t="s">
        <v>379</v>
      </c>
      <c r="B34" s="875">
        <v>5914479</v>
      </c>
      <c r="C34" s="876" t="s">
        <v>385</v>
      </c>
      <c r="D34" s="877" t="s">
        <v>415</v>
      </c>
      <c r="E34" s="878" t="s">
        <v>418</v>
      </c>
      <c r="F34" s="1437"/>
      <c r="G34" s="1438"/>
      <c r="H34" s="1439"/>
      <c r="I34" s="1440"/>
      <c r="J34" s="1440"/>
      <c r="K34" s="1436"/>
      <c r="L34" s="1436"/>
      <c r="M34" s="1436"/>
      <c r="N34" s="879">
        <v>373.5</v>
      </c>
      <c r="O34" s="880">
        <f>ROUND(M32/N34,4)</f>
        <v>0.52400000000000002</v>
      </c>
      <c r="P34" s="881"/>
      <c r="Q34" s="882"/>
      <c r="R34" s="883">
        <f t="shared" si="0"/>
        <v>0.52400000000000002</v>
      </c>
      <c r="S34" s="884">
        <f t="shared" si="1"/>
        <v>0.52</v>
      </c>
    </row>
    <row r="35" spans="1:19" x14ac:dyDescent="0.2">
      <c r="A35" s="891"/>
      <c r="B35" s="892"/>
      <c r="C35" s="892"/>
      <c r="D35" s="892"/>
      <c r="E35" s="893"/>
      <c r="F35" s="893"/>
      <c r="G35" s="892"/>
      <c r="H35" s="894"/>
      <c r="I35" s="895"/>
      <c r="J35" s="895"/>
      <c r="K35" s="896"/>
      <c r="L35" s="896"/>
      <c r="M35" s="896"/>
      <c r="N35" s="896"/>
      <c r="O35" s="897"/>
      <c r="P35" s="898"/>
      <c r="Q35" s="899"/>
      <c r="R35" s="900"/>
      <c r="S35" s="901"/>
    </row>
  </sheetData>
  <mergeCells count="86">
    <mergeCell ref="E4:S4"/>
    <mergeCell ref="A5:E5"/>
    <mergeCell ref="F5:H5"/>
    <mergeCell ref="I5:J5"/>
    <mergeCell ref="K5:L5"/>
    <mergeCell ref="M5:M6"/>
    <mergeCell ref="N5:N6"/>
    <mergeCell ref="O5:O6"/>
    <mergeCell ref="P5:Q5"/>
    <mergeCell ref="R5:R6"/>
    <mergeCell ref="S5:S6"/>
    <mergeCell ref="A6:B6"/>
    <mergeCell ref="D6:E6"/>
    <mergeCell ref="F6:G6"/>
    <mergeCell ref="K8:K10"/>
    <mergeCell ref="L8:L10"/>
    <mergeCell ref="M8:M10"/>
    <mergeCell ref="F11:F13"/>
    <mergeCell ref="G11:G13"/>
    <mergeCell ref="H11:H13"/>
    <mergeCell ref="I11:I13"/>
    <mergeCell ref="J11:J13"/>
    <mergeCell ref="K11:K13"/>
    <mergeCell ref="L11:L13"/>
    <mergeCell ref="M11:M13"/>
    <mergeCell ref="F8:F10"/>
    <mergeCell ref="G8:G10"/>
    <mergeCell ref="H8:H10"/>
    <mergeCell ref="I8:I10"/>
    <mergeCell ref="J8:J10"/>
    <mergeCell ref="K14:K16"/>
    <mergeCell ref="L14:L16"/>
    <mergeCell ref="M14:M16"/>
    <mergeCell ref="F17:F19"/>
    <mergeCell ref="G17:G19"/>
    <mergeCell ref="H17:H19"/>
    <mergeCell ref="I17:I19"/>
    <mergeCell ref="J17:J19"/>
    <mergeCell ref="K17:K19"/>
    <mergeCell ref="L17:L19"/>
    <mergeCell ref="M17:M19"/>
    <mergeCell ref="F14:F16"/>
    <mergeCell ref="G14:G16"/>
    <mergeCell ref="H14:H16"/>
    <mergeCell ref="I14:I16"/>
    <mergeCell ref="J14:J16"/>
    <mergeCell ref="K20:K22"/>
    <mergeCell ref="L20:L22"/>
    <mergeCell ref="M20:M22"/>
    <mergeCell ref="F23:F25"/>
    <mergeCell ref="G23:G25"/>
    <mergeCell ref="H23:H25"/>
    <mergeCell ref="I23:I25"/>
    <mergeCell ref="J23:J25"/>
    <mergeCell ref="K23:K25"/>
    <mergeCell ref="L23:L25"/>
    <mergeCell ref="M23:M25"/>
    <mergeCell ref="F20:F22"/>
    <mergeCell ref="G20:G22"/>
    <mergeCell ref="H20:H22"/>
    <mergeCell ref="I20:I22"/>
    <mergeCell ref="J20:J22"/>
    <mergeCell ref="K26:K28"/>
    <mergeCell ref="L26:L28"/>
    <mergeCell ref="M26:M28"/>
    <mergeCell ref="F29:F31"/>
    <mergeCell ref="G29:G31"/>
    <mergeCell ref="H29:H31"/>
    <mergeCell ref="I29:I31"/>
    <mergeCell ref="J29:J31"/>
    <mergeCell ref="K29:K31"/>
    <mergeCell ref="L29:L31"/>
    <mergeCell ref="M29:M31"/>
    <mergeCell ref="F26:F28"/>
    <mergeCell ref="G26:G28"/>
    <mergeCell ref="H26:H28"/>
    <mergeCell ref="I26:I28"/>
    <mergeCell ref="J26:J28"/>
    <mergeCell ref="K32:K34"/>
    <mergeCell ref="L32:L34"/>
    <mergeCell ref="M32:M34"/>
    <mergeCell ref="F32:F34"/>
    <mergeCell ref="G32:G34"/>
    <mergeCell ref="H32:H34"/>
    <mergeCell ref="I32:I34"/>
    <mergeCell ref="J32:J34"/>
  </mergeCells>
  <printOptions horizontalCentered="1" verticalCentered="1"/>
  <pageMargins left="0.39374999999999999" right="0.39374999999999999" top="0.39374999999999999" bottom="0.39374999999999999" header="0.51180555555555496" footer="0.51180555555555496"/>
  <pageSetup paperSize="9" scale="56" firstPageNumber="0" orientation="landscape"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44"/>
  <sheetViews>
    <sheetView topLeftCell="A127" zoomScale="83" zoomScaleNormal="83" workbookViewId="0">
      <selection activeCell="P139" sqref="P139"/>
    </sheetView>
  </sheetViews>
  <sheetFormatPr defaultRowHeight="15" x14ac:dyDescent="0.2"/>
  <cols>
    <col min="1" max="2" width="7.6640625" style="902" customWidth="1"/>
    <col min="3" max="3" width="0.8046875" style="902" customWidth="1"/>
    <col min="4" max="4" width="3.765625" style="902" customWidth="1"/>
    <col min="5" max="5" width="23.67578125" style="902" customWidth="1"/>
    <col min="6" max="6" width="12.64453125" style="902" customWidth="1"/>
    <col min="7" max="11" width="8.7421875" style="902" customWidth="1"/>
    <col min="12" max="12" width="10.76171875" style="902" customWidth="1"/>
    <col min="13" max="1025" width="8.7421875" customWidth="1"/>
  </cols>
  <sheetData>
    <row r="1" spans="1:12" x14ac:dyDescent="0.2">
      <c r="A1" s="1474"/>
      <c r="B1" s="1474"/>
      <c r="C1" s="1474"/>
      <c r="D1" s="1474"/>
      <c r="E1" s="1474"/>
      <c r="F1" s="1474"/>
      <c r="G1" s="1474"/>
      <c r="H1" s="1474"/>
      <c r="I1" s="1474"/>
      <c r="J1" s="1474"/>
      <c r="K1" s="1474"/>
      <c r="L1" s="1474"/>
    </row>
    <row r="2" spans="1:12" x14ac:dyDescent="0.2">
      <c r="A2" s="1475" t="s">
        <v>629</v>
      </c>
      <c r="B2" s="1475"/>
      <c r="C2" s="1475"/>
      <c r="D2" s="1475"/>
      <c r="E2" s="1475"/>
      <c r="F2" s="1475"/>
      <c r="G2" s="1475"/>
      <c r="H2" s="1475"/>
      <c r="I2" s="1475"/>
      <c r="J2" s="1475"/>
      <c r="K2" s="1475"/>
      <c r="L2" s="1475"/>
    </row>
    <row r="3" spans="1:12" x14ac:dyDescent="0.2">
      <c r="A3" s="1474"/>
      <c r="B3" s="1474"/>
      <c r="C3" s="1474"/>
      <c r="D3" s="1474"/>
      <c r="E3" s="1474"/>
      <c r="F3" s="1474"/>
      <c r="G3" s="1474"/>
      <c r="H3" s="1474"/>
      <c r="I3" s="1474"/>
      <c r="J3" s="1474"/>
      <c r="K3" s="1474"/>
      <c r="L3" s="1474"/>
    </row>
    <row r="4" spans="1:12" x14ac:dyDescent="0.2">
      <c r="A4" s="1476"/>
      <c r="B4" s="1476"/>
      <c r="C4" s="1476"/>
      <c r="D4" s="1476"/>
      <c r="E4" s="1476"/>
      <c r="F4" s="1476"/>
      <c r="G4" s="1476"/>
      <c r="H4" s="1476"/>
      <c r="I4" s="1476"/>
      <c r="J4" s="1476"/>
      <c r="K4" s="1476"/>
      <c r="L4" s="1476"/>
    </row>
    <row r="5" spans="1:12" ht="12.6" customHeight="1" x14ac:dyDescent="0.2">
      <c r="A5" s="1477"/>
      <c r="B5" s="1477"/>
      <c r="C5" s="1477"/>
      <c r="D5" s="1477"/>
      <c r="E5" s="1477"/>
      <c r="F5" s="1477"/>
      <c r="G5" s="1477"/>
      <c r="H5" s="1477"/>
      <c r="I5" s="1477"/>
      <c r="J5" s="1477"/>
      <c r="K5" s="1477"/>
      <c r="L5" s="903" t="s">
        <v>419</v>
      </c>
    </row>
    <row r="6" spans="1:12" ht="13.9" customHeight="1" x14ac:dyDescent="0.2">
      <c r="A6" s="1469"/>
      <c r="B6" s="1469"/>
      <c r="C6" s="1469"/>
      <c r="D6" s="1469"/>
      <c r="E6" s="1469"/>
      <c r="F6" s="1469"/>
      <c r="G6" s="1469"/>
      <c r="H6" s="1469"/>
      <c r="I6" s="1469"/>
      <c r="J6" s="1469"/>
      <c r="K6" s="1469"/>
      <c r="L6" s="1470" t="s">
        <v>420</v>
      </c>
    </row>
    <row r="7" spans="1:12" x14ac:dyDescent="0.2">
      <c r="A7" s="904"/>
      <c r="B7" s="905"/>
      <c r="C7" s="906"/>
      <c r="D7" s="907"/>
      <c r="E7" s="908"/>
      <c r="F7" s="906"/>
      <c r="G7" s="906"/>
      <c r="H7" s="906"/>
      <c r="I7" s="906"/>
      <c r="J7" s="906"/>
      <c r="K7" s="909"/>
      <c r="L7" s="1470"/>
    </row>
    <row r="8" spans="1:12" x14ac:dyDescent="0.2">
      <c r="A8" s="910"/>
      <c r="B8" s="910"/>
      <c r="C8" s="911"/>
      <c r="D8" s="912"/>
      <c r="E8" s="912"/>
      <c r="F8" s="913"/>
      <c r="G8" s="913"/>
      <c r="H8" s="913"/>
      <c r="I8" s="913"/>
      <c r="J8" s="913"/>
      <c r="K8" s="913"/>
      <c r="L8" s="914"/>
    </row>
    <row r="9" spans="1:12" x14ac:dyDescent="0.2">
      <c r="A9" s="1471"/>
      <c r="B9" s="1471"/>
      <c r="C9" s="1471"/>
      <c r="D9" s="1471"/>
      <c r="E9" s="1471"/>
      <c r="F9" s="1471"/>
      <c r="G9" s="1471"/>
      <c r="H9" s="1471"/>
      <c r="I9" s="1471"/>
      <c r="J9" s="1471"/>
      <c r="K9" s="1471"/>
      <c r="L9" s="1471"/>
    </row>
    <row r="10" spans="1:12" x14ac:dyDescent="0.2">
      <c r="A10" s="915"/>
      <c r="B10" s="912"/>
      <c r="C10" s="911"/>
      <c r="D10" s="912"/>
      <c r="E10" s="911"/>
      <c r="F10" s="911"/>
      <c r="G10" s="911"/>
      <c r="H10" s="911"/>
      <c r="I10" s="911"/>
      <c r="J10" s="911"/>
      <c r="K10" s="911"/>
      <c r="L10" s="916"/>
    </row>
    <row r="11" spans="1:12" x14ac:dyDescent="0.2">
      <c r="A11" s="1472" t="s">
        <v>421</v>
      </c>
      <c r="B11" s="1472"/>
      <c r="C11" s="1472"/>
      <c r="D11" s="1472"/>
      <c r="E11" s="917" t="s">
        <v>648</v>
      </c>
      <c r="F11" s="918"/>
      <c r="G11" s="918"/>
      <c r="H11" s="918"/>
      <c r="I11" s="918"/>
      <c r="J11" s="918"/>
      <c r="K11" s="918"/>
      <c r="L11" s="919"/>
    </row>
    <row r="12" spans="1:12" x14ac:dyDescent="0.2">
      <c r="A12" s="920"/>
      <c r="B12" s="907"/>
      <c r="C12" s="921"/>
      <c r="D12" s="907"/>
      <c r="E12" s="907"/>
      <c r="F12" s="906"/>
      <c r="G12" s="906"/>
      <c r="H12" s="906"/>
      <c r="I12" s="906"/>
      <c r="J12" s="906"/>
      <c r="K12" s="906"/>
      <c r="L12" s="922"/>
    </row>
    <row r="13" spans="1:12" x14ac:dyDescent="0.2">
      <c r="A13" s="913"/>
      <c r="B13" s="913"/>
      <c r="C13" s="913"/>
      <c r="D13" s="913"/>
      <c r="E13" s="913"/>
      <c r="F13" s="913"/>
      <c r="G13" s="913"/>
      <c r="H13" s="913"/>
      <c r="I13" s="913"/>
      <c r="J13" s="913"/>
      <c r="K13" s="913"/>
      <c r="L13" s="914"/>
    </row>
    <row r="14" spans="1:12" x14ac:dyDescent="0.2">
      <c r="A14" s="1473" t="s">
        <v>422</v>
      </c>
      <c r="B14" s="1473"/>
      <c r="C14" s="1473"/>
      <c r="D14" s="1473"/>
      <c r="E14" s="1473"/>
      <c r="F14" s="1473"/>
      <c r="G14" s="1473"/>
      <c r="H14" s="1473"/>
      <c r="I14" s="1473"/>
      <c r="J14" s="1473"/>
      <c r="K14" s="1473"/>
      <c r="L14" s="1473"/>
    </row>
    <row r="15" spans="1:12" x14ac:dyDescent="0.2">
      <c r="A15" s="1473"/>
      <c r="B15" s="1473"/>
      <c r="C15" s="1473"/>
      <c r="D15" s="1473"/>
      <c r="E15" s="1473"/>
      <c r="F15" s="1473"/>
      <c r="G15" s="1473"/>
      <c r="H15" s="1473"/>
      <c r="I15" s="1473"/>
      <c r="J15" s="1473"/>
      <c r="K15" s="1473"/>
      <c r="L15" s="1473"/>
    </row>
    <row r="16" spans="1:12" x14ac:dyDescent="0.2">
      <c r="A16" s="923"/>
      <c r="B16" s="923"/>
      <c r="C16" s="923"/>
      <c r="D16" s="923"/>
      <c r="E16" s="923"/>
      <c r="F16" s="923"/>
      <c r="G16" s="923"/>
      <c r="H16" s="923"/>
      <c r="I16" s="923"/>
      <c r="J16" s="923"/>
      <c r="K16" s="923"/>
      <c r="L16" s="923"/>
    </row>
    <row r="17" spans="1:12" x14ac:dyDescent="0.2">
      <c r="A17" s="924" t="s">
        <v>423</v>
      </c>
      <c r="B17" s="925"/>
      <c r="C17" s="925"/>
      <c r="D17" s="926" t="s">
        <v>420</v>
      </c>
      <c r="E17" s="1466" t="s">
        <v>424</v>
      </c>
      <c r="F17" s="1466"/>
      <c r="G17" s="1466"/>
      <c r="H17" s="1466"/>
      <c r="I17" s="1466"/>
      <c r="J17" s="1466"/>
      <c r="K17" s="928" t="s">
        <v>425</v>
      </c>
      <c r="L17" s="929" t="s">
        <v>426</v>
      </c>
    </row>
    <row r="18" spans="1:12" x14ac:dyDescent="0.2">
      <c r="A18" s="930"/>
      <c r="B18" s="930"/>
      <c r="C18" s="930"/>
      <c r="D18" s="930"/>
      <c r="E18" s="930"/>
      <c r="F18" s="930"/>
      <c r="G18" s="930"/>
      <c r="H18" s="930"/>
      <c r="I18" s="930"/>
      <c r="J18" s="930"/>
      <c r="K18" s="930"/>
      <c r="L18" s="930"/>
    </row>
    <row r="19" spans="1:12" x14ac:dyDescent="0.2">
      <c r="A19" s="931"/>
      <c r="B19" s="932"/>
      <c r="C19" s="932"/>
      <c r="D19" s="932"/>
      <c r="E19" s="933"/>
      <c r="F19" s="932"/>
      <c r="G19" s="932"/>
      <c r="H19" s="932"/>
      <c r="I19" s="932"/>
      <c r="J19" s="932"/>
      <c r="K19" s="932"/>
      <c r="L19" s="934"/>
    </row>
    <row r="20" spans="1:12" x14ac:dyDescent="0.2">
      <c r="A20" s="935"/>
      <c r="B20" s="936"/>
      <c r="C20" s="936"/>
      <c r="D20" s="1467" t="s">
        <v>427</v>
      </c>
      <c r="E20" s="1467"/>
      <c r="F20" s="1467" t="s">
        <v>428</v>
      </c>
      <c r="G20" s="1467"/>
      <c r="H20" s="1467" t="s">
        <v>429</v>
      </c>
      <c r="I20" s="1467"/>
      <c r="J20" s="1468"/>
      <c r="K20" s="1468"/>
      <c r="L20" s="937"/>
    </row>
    <row r="21" spans="1:12" x14ac:dyDescent="0.2">
      <c r="A21" s="935"/>
      <c r="B21" s="910"/>
      <c r="C21" s="910"/>
      <c r="D21" s="1463" t="s">
        <v>430</v>
      </c>
      <c r="E21" s="1463"/>
      <c r="F21" s="938">
        <v>10</v>
      </c>
      <c r="G21" s="939" t="s">
        <v>40</v>
      </c>
      <c r="H21" s="940">
        <v>60</v>
      </c>
      <c r="I21" s="941" t="s">
        <v>431</v>
      </c>
      <c r="J21" s="1464"/>
      <c r="K21" s="1465"/>
      <c r="L21" s="937"/>
    </row>
    <row r="22" spans="1:12" x14ac:dyDescent="0.2">
      <c r="A22" s="935"/>
      <c r="B22" s="910"/>
      <c r="C22" s="910"/>
      <c r="D22" s="1463" t="s">
        <v>432</v>
      </c>
      <c r="E22" s="1463"/>
      <c r="F22" s="938">
        <v>10</v>
      </c>
      <c r="G22" s="939" t="s">
        <v>40</v>
      </c>
      <c r="H22" s="940">
        <v>50</v>
      </c>
      <c r="I22" s="941" t="s">
        <v>431</v>
      </c>
      <c r="J22" s="1464"/>
      <c r="K22" s="1465"/>
      <c r="L22" s="937"/>
    </row>
    <row r="23" spans="1:12" x14ac:dyDescent="0.2">
      <c r="A23" s="935"/>
      <c r="B23" s="910"/>
      <c r="C23" s="910"/>
      <c r="D23" s="1463" t="s">
        <v>433</v>
      </c>
      <c r="E23" s="1463"/>
      <c r="F23" s="938">
        <v>20</v>
      </c>
      <c r="G23" s="939" t="s">
        <v>40</v>
      </c>
      <c r="H23" s="940">
        <v>40</v>
      </c>
      <c r="I23" s="941" t="s">
        <v>431</v>
      </c>
      <c r="J23" s="1464"/>
      <c r="K23" s="1465"/>
      <c r="L23" s="937"/>
    </row>
    <row r="24" spans="1:12" x14ac:dyDescent="0.2">
      <c r="A24" s="935"/>
      <c r="B24" s="910"/>
      <c r="C24" s="910"/>
      <c r="D24" s="910"/>
      <c r="E24" s="910"/>
      <c r="F24" s="910"/>
      <c r="G24" s="910"/>
      <c r="H24" s="910"/>
      <c r="I24" s="910"/>
      <c r="J24" s="910"/>
      <c r="K24" s="910"/>
      <c r="L24" s="937"/>
    </row>
    <row r="25" spans="1:12" ht="13.9" customHeight="1" x14ac:dyDescent="0.2">
      <c r="A25" s="1462" t="s">
        <v>434</v>
      </c>
      <c r="B25" s="1462"/>
      <c r="C25" s="1462"/>
      <c r="D25" s="1462"/>
      <c r="E25" s="1462"/>
      <c r="F25" s="1462"/>
      <c r="G25" s="1460" t="s">
        <v>372</v>
      </c>
      <c r="H25" s="1452" t="s">
        <v>435</v>
      </c>
      <c r="I25" s="1452" t="s">
        <v>436</v>
      </c>
      <c r="J25" s="1452" t="s">
        <v>437</v>
      </c>
      <c r="K25" s="1452" t="s">
        <v>438</v>
      </c>
      <c r="L25" s="1452" t="s">
        <v>439</v>
      </c>
    </row>
    <row r="26" spans="1:12" x14ac:dyDescent="0.2">
      <c r="A26" s="1462"/>
      <c r="B26" s="1462"/>
      <c r="C26" s="1462"/>
      <c r="D26" s="1462"/>
      <c r="E26" s="1462"/>
      <c r="F26" s="1462"/>
      <c r="G26" s="1460"/>
      <c r="H26" s="1452"/>
      <c r="I26" s="1452"/>
      <c r="J26" s="1452"/>
      <c r="K26" s="1452"/>
      <c r="L26" s="1452"/>
    </row>
    <row r="27" spans="1:12" x14ac:dyDescent="0.2">
      <c r="A27" s="945" t="s">
        <v>440</v>
      </c>
      <c r="B27" s="946"/>
      <c r="C27" s="947"/>
      <c r="D27" s="948"/>
      <c r="E27" s="949"/>
      <c r="F27" s="949"/>
      <c r="G27" s="947"/>
      <c r="H27" s="950"/>
      <c r="I27" s="951"/>
      <c r="J27" s="952"/>
      <c r="K27" s="953"/>
      <c r="L27" s="954"/>
    </row>
    <row r="28" spans="1:12" x14ac:dyDescent="0.2">
      <c r="A28" s="955"/>
      <c r="B28" s="956" t="s">
        <v>334</v>
      </c>
      <c r="C28" s="957"/>
      <c r="D28" s="958" t="s">
        <v>441</v>
      </c>
      <c r="E28" s="959"/>
      <c r="F28" s="959"/>
      <c r="G28" s="957"/>
      <c r="H28" s="960"/>
      <c r="I28" s="961"/>
      <c r="J28" s="962"/>
      <c r="K28" s="963"/>
      <c r="L28" s="964"/>
    </row>
    <row r="29" spans="1:12" x14ac:dyDescent="0.2">
      <c r="A29" s="955"/>
      <c r="B29" s="956" t="s">
        <v>637</v>
      </c>
      <c r="C29" s="957"/>
      <c r="D29" s="965">
        <v>1</v>
      </c>
      <c r="E29" s="966" t="s">
        <v>636</v>
      </c>
      <c r="F29" s="910"/>
      <c r="G29" s="957"/>
      <c r="H29" s="960"/>
      <c r="I29" s="961"/>
      <c r="J29" s="962"/>
      <c r="K29" s="963"/>
      <c r="L29" s="964"/>
    </row>
    <row r="30" spans="1:12" x14ac:dyDescent="0.2">
      <c r="A30" s="955"/>
      <c r="B30" s="956" t="s">
        <v>631</v>
      </c>
      <c r="C30" s="957"/>
      <c r="D30" s="965">
        <v>2</v>
      </c>
      <c r="E30" s="966" t="s">
        <v>630</v>
      </c>
      <c r="F30" s="910"/>
      <c r="G30" s="957"/>
      <c r="H30" s="960"/>
      <c r="I30" s="961"/>
      <c r="J30" s="962"/>
      <c r="K30" s="963"/>
      <c r="L30" s="964"/>
    </row>
    <row r="31" spans="1:12" x14ac:dyDescent="0.2">
      <c r="A31" s="955"/>
      <c r="B31" s="956" t="s">
        <v>635</v>
      </c>
      <c r="C31" s="957"/>
      <c r="D31" s="965">
        <v>3</v>
      </c>
      <c r="E31" s="966" t="s">
        <v>634</v>
      </c>
      <c r="F31" s="910"/>
      <c r="G31" s="957"/>
      <c r="H31" s="960"/>
      <c r="I31" s="961"/>
      <c r="J31" s="962"/>
      <c r="K31" s="963"/>
      <c r="L31" s="964"/>
    </row>
    <row r="32" spans="1:12" x14ac:dyDescent="0.2">
      <c r="A32" s="955"/>
      <c r="B32" s="956" t="s">
        <v>639</v>
      </c>
      <c r="C32" s="957"/>
      <c r="D32" s="965">
        <v>4</v>
      </c>
      <c r="E32" s="966" t="s">
        <v>638</v>
      </c>
      <c r="F32" s="910"/>
      <c r="G32" s="957"/>
      <c r="H32" s="960"/>
      <c r="I32" s="961"/>
      <c r="J32" s="962"/>
      <c r="K32" s="963"/>
      <c r="L32" s="967"/>
    </row>
    <row r="33" spans="1:12" x14ac:dyDescent="0.2">
      <c r="A33" s="955"/>
      <c r="B33" s="956" t="s">
        <v>643</v>
      </c>
      <c r="C33" s="957"/>
      <c r="D33" s="965">
        <v>5</v>
      </c>
      <c r="E33" s="966" t="s">
        <v>642</v>
      </c>
      <c r="F33" s="910"/>
      <c r="G33" s="957"/>
      <c r="H33" s="961"/>
      <c r="I33" s="961"/>
      <c r="J33" s="962"/>
      <c r="K33" s="964"/>
      <c r="L33" s="1461">
        <f>ROUND(SUM(L35:L50),4)</f>
        <v>2499.4149000000002</v>
      </c>
    </row>
    <row r="34" spans="1:12" x14ac:dyDescent="0.2">
      <c r="A34" s="969"/>
      <c r="B34" s="970"/>
      <c r="C34" s="971"/>
      <c r="D34" s="972"/>
      <c r="E34" s="973"/>
      <c r="F34" s="974"/>
      <c r="G34" s="971"/>
      <c r="H34" s="975"/>
      <c r="I34" s="975"/>
      <c r="J34" s="976"/>
      <c r="K34" s="977"/>
      <c r="L34" s="1461"/>
    </row>
    <row r="35" spans="1:12" x14ac:dyDescent="0.2">
      <c r="A35" s="978" t="s">
        <v>379</v>
      </c>
      <c r="B35" s="958" t="s">
        <v>649</v>
      </c>
      <c r="C35" s="979" t="s">
        <v>442</v>
      </c>
      <c r="D35" s="980" t="s">
        <v>650</v>
      </c>
      <c r="E35" s="980"/>
      <c r="F35" s="981"/>
      <c r="G35" s="982"/>
      <c r="H35" s="983"/>
      <c r="I35" s="982"/>
      <c r="J35" s="984">
        <v>1</v>
      </c>
      <c r="K35" s="985">
        <v>0</v>
      </c>
      <c r="L35" s="986">
        <f t="shared" ref="L35:L49" si="0">ROUND((((($F$21*I35*J35)/$H$21)*K35)+((($F$22*I35*J35)/$H$22)*K35)+((($F$23*I35*J35)/$H$23)*K35))*G35,4)</f>
        <v>0</v>
      </c>
    </row>
    <row r="36" spans="1:12" x14ac:dyDescent="0.2">
      <c r="A36" s="978" t="s">
        <v>379</v>
      </c>
      <c r="B36" s="958" t="s">
        <v>651</v>
      </c>
      <c r="C36" s="979" t="s">
        <v>442</v>
      </c>
      <c r="D36" s="1457" t="s">
        <v>652</v>
      </c>
      <c r="E36" s="1457"/>
      <c r="F36" s="1457"/>
      <c r="G36" s="987"/>
      <c r="H36" s="983"/>
      <c r="I36" s="982"/>
      <c r="J36" s="984">
        <v>0.5</v>
      </c>
      <c r="K36" s="985">
        <v>0</v>
      </c>
      <c r="L36" s="986">
        <f t="shared" si="0"/>
        <v>0</v>
      </c>
    </row>
    <row r="37" spans="1:12" x14ac:dyDescent="0.2">
      <c r="A37" s="978" t="s">
        <v>379</v>
      </c>
      <c r="B37" s="958" t="s">
        <v>653</v>
      </c>
      <c r="C37" s="979" t="s">
        <v>442</v>
      </c>
      <c r="D37" s="1457" t="s">
        <v>654</v>
      </c>
      <c r="E37" s="1457"/>
      <c r="F37" s="1457"/>
      <c r="G37" s="982">
        <v>1</v>
      </c>
      <c r="H37" s="988">
        <v>1</v>
      </c>
      <c r="I37" s="982">
        <v>2</v>
      </c>
      <c r="J37" s="984">
        <v>1</v>
      </c>
      <c r="K37" s="989">
        <v>272.46280000000002</v>
      </c>
      <c r="L37" s="986">
        <f t="shared" si="0"/>
        <v>472.26889999999997</v>
      </c>
    </row>
    <row r="38" spans="1:12" x14ac:dyDescent="0.2">
      <c r="A38" s="978" t="s">
        <v>379</v>
      </c>
      <c r="B38" s="958" t="s">
        <v>655</v>
      </c>
      <c r="C38" s="979" t="s">
        <v>442</v>
      </c>
      <c r="D38" s="1457" t="s">
        <v>656</v>
      </c>
      <c r="E38" s="1457"/>
      <c r="F38" s="1457"/>
      <c r="G38" s="982">
        <v>1</v>
      </c>
      <c r="H38" s="988">
        <v>2</v>
      </c>
      <c r="I38" s="982">
        <v>1</v>
      </c>
      <c r="J38" s="984">
        <v>1</v>
      </c>
      <c r="K38" s="989">
        <v>159.31229999999999</v>
      </c>
      <c r="L38" s="986">
        <f t="shared" si="0"/>
        <v>138.07069999999999</v>
      </c>
    </row>
    <row r="39" spans="1:12" x14ac:dyDescent="0.2">
      <c r="A39" s="978" t="s">
        <v>379</v>
      </c>
      <c r="B39" s="958" t="s">
        <v>657</v>
      </c>
      <c r="C39" s="979" t="s">
        <v>442</v>
      </c>
      <c r="D39" s="980" t="s">
        <v>658</v>
      </c>
      <c r="E39" s="980"/>
      <c r="F39" s="981"/>
      <c r="G39" s="982">
        <v>2</v>
      </c>
      <c r="H39" s="988">
        <v>1</v>
      </c>
      <c r="I39" s="982">
        <v>2</v>
      </c>
      <c r="J39" s="984">
        <v>1</v>
      </c>
      <c r="K39" s="989">
        <v>272.46280000000002</v>
      </c>
      <c r="L39" s="986">
        <f t="shared" si="0"/>
        <v>944.53769999999997</v>
      </c>
    </row>
    <row r="40" spans="1:12" x14ac:dyDescent="0.2">
      <c r="A40" s="978" t="s">
        <v>379</v>
      </c>
      <c r="B40" s="958" t="s">
        <v>659</v>
      </c>
      <c r="C40" s="979" t="s">
        <v>442</v>
      </c>
      <c r="D40" s="980" t="s">
        <v>660</v>
      </c>
      <c r="E40" s="980"/>
      <c r="F40" s="981"/>
      <c r="G40" s="982"/>
      <c r="H40" s="988"/>
      <c r="I40" s="982"/>
      <c r="J40" s="984">
        <v>0.5</v>
      </c>
      <c r="K40" s="989">
        <v>0</v>
      </c>
      <c r="L40" s="986">
        <f t="shared" si="0"/>
        <v>0</v>
      </c>
    </row>
    <row r="41" spans="1:12" x14ac:dyDescent="0.2">
      <c r="A41" s="978" t="s">
        <v>379</v>
      </c>
      <c r="B41" s="958" t="s">
        <v>661</v>
      </c>
      <c r="C41" s="979" t="s">
        <v>442</v>
      </c>
      <c r="D41" s="1457" t="s">
        <v>662</v>
      </c>
      <c r="E41" s="1457"/>
      <c r="F41" s="1457"/>
      <c r="G41" s="982"/>
      <c r="H41" s="988"/>
      <c r="I41" s="982"/>
      <c r="J41" s="984">
        <v>0.5</v>
      </c>
      <c r="K41" s="989">
        <v>0</v>
      </c>
      <c r="L41" s="986">
        <f t="shared" si="0"/>
        <v>0</v>
      </c>
    </row>
    <row r="42" spans="1:12" x14ac:dyDescent="0.2">
      <c r="A42" s="978" t="s">
        <v>379</v>
      </c>
      <c r="B42" s="958" t="s">
        <v>663</v>
      </c>
      <c r="C42" s="979" t="s">
        <v>442</v>
      </c>
      <c r="D42" s="1457" t="s">
        <v>664</v>
      </c>
      <c r="E42" s="1457"/>
      <c r="F42" s="1457"/>
      <c r="G42" s="982">
        <v>1</v>
      </c>
      <c r="H42" s="988">
        <v>1</v>
      </c>
      <c r="I42" s="982">
        <v>2</v>
      </c>
      <c r="J42" s="984">
        <v>0.5</v>
      </c>
      <c r="K42" s="989">
        <v>272.46280000000002</v>
      </c>
      <c r="L42" s="986">
        <f t="shared" si="0"/>
        <v>236.1344</v>
      </c>
    </row>
    <row r="43" spans="1:12" x14ac:dyDescent="0.2">
      <c r="A43" s="978" t="s">
        <v>379</v>
      </c>
      <c r="B43" s="958" t="s">
        <v>665</v>
      </c>
      <c r="C43" s="979" t="s">
        <v>442</v>
      </c>
      <c r="D43" s="980" t="s">
        <v>666</v>
      </c>
      <c r="E43" s="980"/>
      <c r="F43" s="981"/>
      <c r="G43" s="982">
        <v>1</v>
      </c>
      <c r="H43" s="988">
        <v>1</v>
      </c>
      <c r="I43" s="982">
        <v>2</v>
      </c>
      <c r="J43" s="984">
        <v>0.5</v>
      </c>
      <c r="K43" s="989">
        <v>272.46280000000002</v>
      </c>
      <c r="L43" s="986">
        <f t="shared" si="0"/>
        <v>236.1344</v>
      </c>
    </row>
    <row r="44" spans="1:12" x14ac:dyDescent="0.2">
      <c r="A44" s="978" t="s">
        <v>379</v>
      </c>
      <c r="B44" s="958" t="s">
        <v>667</v>
      </c>
      <c r="C44" s="979" t="s">
        <v>442</v>
      </c>
      <c r="D44" s="980" t="s">
        <v>668</v>
      </c>
      <c r="E44" s="980"/>
      <c r="F44" s="981"/>
      <c r="G44" s="982"/>
      <c r="H44" s="988"/>
      <c r="I44" s="982"/>
      <c r="J44" s="984">
        <v>1</v>
      </c>
      <c r="K44" s="989">
        <v>0</v>
      </c>
      <c r="L44" s="986">
        <f t="shared" si="0"/>
        <v>0</v>
      </c>
    </row>
    <row r="45" spans="1:12" x14ac:dyDescent="0.2">
      <c r="A45" s="978" t="s">
        <v>379</v>
      </c>
      <c r="B45" s="958" t="s">
        <v>669</v>
      </c>
      <c r="C45" s="979" t="s">
        <v>442</v>
      </c>
      <c r="D45" s="1457" t="s">
        <v>670</v>
      </c>
      <c r="E45" s="1457"/>
      <c r="F45" s="1457"/>
      <c r="G45" s="982"/>
      <c r="H45" s="983"/>
      <c r="I45" s="982"/>
      <c r="J45" s="984">
        <v>0.5</v>
      </c>
      <c r="K45" s="989">
        <v>0</v>
      </c>
      <c r="L45" s="986">
        <f t="shared" si="0"/>
        <v>0</v>
      </c>
    </row>
    <row r="46" spans="1:12" x14ac:dyDescent="0.2">
      <c r="A46" s="978" t="s">
        <v>379</v>
      </c>
      <c r="B46" s="958" t="s">
        <v>671</v>
      </c>
      <c r="C46" s="979" t="s">
        <v>442</v>
      </c>
      <c r="D46" s="980" t="s">
        <v>672</v>
      </c>
      <c r="E46" s="980"/>
      <c r="F46" s="981"/>
      <c r="G46" s="982">
        <v>1</v>
      </c>
      <c r="H46" s="988">
        <v>1</v>
      </c>
      <c r="I46" s="982">
        <v>2</v>
      </c>
      <c r="J46" s="984">
        <v>0.5</v>
      </c>
      <c r="K46" s="989">
        <v>272.46280000000002</v>
      </c>
      <c r="L46" s="986">
        <f t="shared" si="0"/>
        <v>236.1344</v>
      </c>
    </row>
    <row r="47" spans="1:12" x14ac:dyDescent="0.2">
      <c r="A47" s="978" t="s">
        <v>379</v>
      </c>
      <c r="B47" s="958" t="s">
        <v>673</v>
      </c>
      <c r="C47" s="979" t="s">
        <v>442</v>
      </c>
      <c r="D47" s="1457" t="s">
        <v>674</v>
      </c>
      <c r="E47" s="1457"/>
      <c r="F47" s="1457"/>
      <c r="G47" s="982">
        <v>1</v>
      </c>
      <c r="H47" s="988">
        <v>1</v>
      </c>
      <c r="I47" s="982">
        <v>2</v>
      </c>
      <c r="J47" s="984">
        <v>0.5</v>
      </c>
      <c r="K47" s="989">
        <v>272.46280000000002</v>
      </c>
      <c r="L47" s="986">
        <f t="shared" si="0"/>
        <v>236.1344</v>
      </c>
    </row>
    <row r="48" spans="1:12" x14ac:dyDescent="0.2">
      <c r="A48" s="990"/>
      <c r="B48" s="991"/>
      <c r="C48" s="992"/>
      <c r="D48" s="993"/>
      <c r="E48" s="993"/>
      <c r="F48" s="994"/>
      <c r="G48" s="982"/>
      <c r="H48" s="988"/>
      <c r="I48" s="982"/>
      <c r="J48" s="982"/>
      <c r="K48" s="995">
        <v>0</v>
      </c>
      <c r="L48" s="996">
        <f t="shared" si="0"/>
        <v>0</v>
      </c>
    </row>
    <row r="49" spans="1:12" x14ac:dyDescent="0.2">
      <c r="A49" s="990"/>
      <c r="B49" s="991"/>
      <c r="C49" s="992"/>
      <c r="D49" s="1458"/>
      <c r="E49" s="1458"/>
      <c r="F49" s="1458"/>
      <c r="G49" s="982"/>
      <c r="H49" s="988"/>
      <c r="I49" s="982"/>
      <c r="J49" s="982"/>
      <c r="K49" s="995">
        <v>0</v>
      </c>
      <c r="L49" s="996">
        <f t="shared" si="0"/>
        <v>0</v>
      </c>
    </row>
    <row r="50" spans="1:12" x14ac:dyDescent="0.2">
      <c r="A50" s="997"/>
      <c r="B50" s="998"/>
      <c r="C50" s="999"/>
      <c r="D50" s="1000"/>
      <c r="E50" s="1000"/>
      <c r="F50" s="1000"/>
      <c r="G50" s="1001"/>
      <c r="H50" s="1002"/>
      <c r="I50" s="1001"/>
      <c r="J50" s="1003"/>
      <c r="K50" s="1004"/>
      <c r="L50" s="1005"/>
    </row>
    <row r="51" spans="1:12" x14ac:dyDescent="0.2">
      <c r="A51" s="978"/>
      <c r="B51" s="958"/>
      <c r="C51" s="979"/>
      <c r="D51" s="1006"/>
      <c r="E51" s="1006"/>
      <c r="F51" s="1006"/>
      <c r="G51" s="961"/>
      <c r="H51" s="961"/>
      <c r="I51" s="961"/>
      <c r="J51" s="962"/>
      <c r="K51" s="989"/>
      <c r="L51" s="964"/>
    </row>
    <row r="52" spans="1:12" x14ac:dyDescent="0.2">
      <c r="A52" s="1007"/>
      <c r="B52" s="1008" t="s">
        <v>443</v>
      </c>
      <c r="C52" s="1009"/>
      <c r="D52" s="1010"/>
      <c r="E52" s="1010"/>
      <c r="F52" s="1010"/>
      <c r="G52" s="975"/>
      <c r="H52" s="975"/>
      <c r="I52" s="975"/>
      <c r="J52" s="976"/>
      <c r="K52" s="1011"/>
      <c r="L52" s="968">
        <f>ROUND(SUM(L53:L58),4)</f>
        <v>0</v>
      </c>
    </row>
    <row r="53" spans="1:12" ht="22.5" customHeight="1" x14ac:dyDescent="0.2">
      <c r="A53" s="978" t="s">
        <v>379</v>
      </c>
      <c r="B53" s="958" t="s">
        <v>675</v>
      </c>
      <c r="C53" s="979" t="s">
        <v>442</v>
      </c>
      <c r="D53" s="1457" t="s">
        <v>676</v>
      </c>
      <c r="E53" s="1457"/>
      <c r="F53" s="1457"/>
      <c r="G53" s="987"/>
      <c r="H53" s="1012"/>
      <c r="I53" s="982"/>
      <c r="J53" s="984">
        <v>0.5</v>
      </c>
      <c r="K53" s="1013">
        <v>0</v>
      </c>
      <c r="L53" s="986">
        <f>ROUND((((($F$21*I53*J53)/$H$21)*K53)+((($F$22*I53*J53)/$H$22)*K53)+((($F$23*I53*J53)/$H$23)*K53))*G53,4)</f>
        <v>0</v>
      </c>
    </row>
    <row r="54" spans="1:12" ht="20.25" customHeight="1" x14ac:dyDescent="0.2">
      <c r="A54" s="978" t="s">
        <v>379</v>
      </c>
      <c r="B54" s="958" t="s">
        <v>677</v>
      </c>
      <c r="C54" s="979" t="s">
        <v>442</v>
      </c>
      <c r="D54" s="1457" t="s">
        <v>678</v>
      </c>
      <c r="E54" s="1457"/>
      <c r="F54" s="1457"/>
      <c r="G54" s="982"/>
      <c r="H54" s="983"/>
      <c r="I54" s="982"/>
      <c r="J54" s="984">
        <v>1</v>
      </c>
      <c r="K54" s="989">
        <v>0</v>
      </c>
      <c r="L54" s="986">
        <f>ROUND((((($F$21*I54*J54)/$H$21)*K54)+((($F$22*I54*J54)/$H$22)*K54)+((($F$23*I54*J54)/$H$23)*K54))*G54,4)</f>
        <v>0</v>
      </c>
    </row>
    <row r="55" spans="1:12" ht="24" customHeight="1" x14ac:dyDescent="0.2">
      <c r="A55" s="978" t="s">
        <v>379</v>
      </c>
      <c r="B55" s="958" t="s">
        <v>679</v>
      </c>
      <c r="C55" s="979" t="s">
        <v>442</v>
      </c>
      <c r="D55" s="1457" t="s">
        <v>680</v>
      </c>
      <c r="E55" s="1457"/>
      <c r="F55" s="1457"/>
      <c r="G55" s="982"/>
      <c r="H55" s="983"/>
      <c r="I55" s="982"/>
      <c r="J55" s="984">
        <v>1</v>
      </c>
      <c r="K55" s="989">
        <v>0</v>
      </c>
      <c r="L55" s="986">
        <f>ROUND((((($F$21*I55*J55)/$H$21)*K55)+((($F$22*I55*J55)/$H$22)*K55)+((($F$23*I55*J55)/$H$23)*K55))*G55,4)</f>
        <v>0</v>
      </c>
    </row>
    <row r="56" spans="1:12" x14ac:dyDescent="0.2">
      <c r="A56" s="990"/>
      <c r="B56" s="991"/>
      <c r="C56" s="992"/>
      <c r="D56" s="993"/>
      <c r="E56" s="993"/>
      <c r="F56" s="994"/>
      <c r="G56" s="982"/>
      <c r="H56" s="988"/>
      <c r="I56" s="982"/>
      <c r="J56" s="982"/>
      <c r="K56" s="995">
        <v>0</v>
      </c>
      <c r="L56" s="996">
        <f>ROUND((((($F$21*I56*J56)/$H$21)*K56)+((($F$22*I56*J56)/$H$22)*K56)+((($F$23*I56*J56)/$H$23)*K56))*G56,4)</f>
        <v>0</v>
      </c>
    </row>
    <row r="57" spans="1:12" x14ac:dyDescent="0.2">
      <c r="A57" s="990"/>
      <c r="B57" s="991"/>
      <c r="C57" s="992"/>
      <c r="D57" s="1458"/>
      <c r="E57" s="1458"/>
      <c r="F57" s="1458"/>
      <c r="G57" s="982"/>
      <c r="H57" s="988"/>
      <c r="I57" s="982"/>
      <c r="J57" s="982"/>
      <c r="K57" s="995">
        <v>0</v>
      </c>
      <c r="L57" s="996">
        <f>ROUND((((($F$21*I57*J57)/$H$21)*K57)+((($F$22*I57*J57)/$H$22)*K57)+((($F$23*I57*J57)/$H$23)*K57))*G57,4)</f>
        <v>0</v>
      </c>
    </row>
    <row r="58" spans="1:12" x14ac:dyDescent="0.2">
      <c r="A58" s="997"/>
      <c r="B58" s="998"/>
      <c r="C58" s="999"/>
      <c r="D58" s="1000"/>
      <c r="E58" s="1000"/>
      <c r="F58" s="1000"/>
      <c r="G58" s="1001"/>
      <c r="H58" s="1001"/>
      <c r="I58" s="1001"/>
      <c r="J58" s="1003"/>
      <c r="K58" s="1004"/>
      <c r="L58" s="1005"/>
    </row>
    <row r="59" spans="1:12" x14ac:dyDescent="0.2">
      <c r="A59" s="978"/>
      <c r="B59" s="958"/>
      <c r="C59" s="979"/>
      <c r="D59" s="1006"/>
      <c r="E59" s="1006"/>
      <c r="F59" s="1014"/>
      <c r="G59" s="1015"/>
      <c r="H59" s="1015"/>
      <c r="I59" s="1015"/>
      <c r="J59" s="1016"/>
      <c r="K59" s="989"/>
      <c r="L59" s="964"/>
    </row>
    <row r="60" spans="1:12" x14ac:dyDescent="0.2">
      <c r="A60" s="1007"/>
      <c r="B60" s="1008" t="s">
        <v>444</v>
      </c>
      <c r="C60" s="1009"/>
      <c r="D60" s="1010"/>
      <c r="E60" s="1010"/>
      <c r="F60" s="1010"/>
      <c r="G60" s="975"/>
      <c r="H60" s="975"/>
      <c r="I60" s="975"/>
      <c r="J60" s="976"/>
      <c r="K60" s="1017"/>
      <c r="L60" s="968">
        <f>ROUND(SUM(L61:L70),4)</f>
        <v>1098.2646999999999</v>
      </c>
    </row>
    <row r="61" spans="1:12" ht="24" customHeight="1" x14ac:dyDescent="0.2">
      <c r="A61" s="978" t="s">
        <v>379</v>
      </c>
      <c r="B61" s="958" t="s">
        <v>631</v>
      </c>
      <c r="C61" s="979" t="s">
        <v>442</v>
      </c>
      <c r="D61" s="1457" t="s">
        <v>630</v>
      </c>
      <c r="E61" s="1457"/>
      <c r="F61" s="1457"/>
      <c r="G61" s="982">
        <v>1</v>
      </c>
      <c r="H61" s="1018" t="s">
        <v>445</v>
      </c>
      <c r="I61" s="1019">
        <v>1</v>
      </c>
      <c r="J61" s="984">
        <v>1</v>
      </c>
      <c r="K61" s="989">
        <v>159.31229999999999</v>
      </c>
      <c r="L61" s="986">
        <f t="shared" ref="L61:L69" si="1">ROUND((((($F$21*I61*J61)/$H$21)*K61)+((($F$22*I61*J61)/$H$22)*K61)+((($F$23*I61*J61)/$H$23)*K61))*G61,4)</f>
        <v>138.07069999999999</v>
      </c>
    </row>
    <row r="62" spans="1:12" ht="23.25" customHeight="1" x14ac:dyDescent="0.2">
      <c r="A62" s="978" t="s">
        <v>379</v>
      </c>
      <c r="B62" s="958" t="s">
        <v>633</v>
      </c>
      <c r="C62" s="979" t="s">
        <v>442</v>
      </c>
      <c r="D62" s="1457" t="s">
        <v>632</v>
      </c>
      <c r="E62" s="1457"/>
      <c r="F62" s="1457"/>
      <c r="G62" s="982">
        <v>1</v>
      </c>
      <c r="H62" s="1020" t="s">
        <v>445</v>
      </c>
      <c r="I62" s="987">
        <v>1</v>
      </c>
      <c r="J62" s="984">
        <v>1</v>
      </c>
      <c r="K62" s="989">
        <v>204.17570000000001</v>
      </c>
      <c r="L62" s="986">
        <f t="shared" si="1"/>
        <v>176.95230000000001</v>
      </c>
    </row>
    <row r="63" spans="1:12" ht="27" customHeight="1" x14ac:dyDescent="0.2">
      <c r="A63" s="978" t="s">
        <v>379</v>
      </c>
      <c r="B63" s="958" t="s">
        <v>635</v>
      </c>
      <c r="C63" s="979" t="s">
        <v>442</v>
      </c>
      <c r="D63" s="1457" t="s">
        <v>634</v>
      </c>
      <c r="E63" s="1457"/>
      <c r="F63" s="1457"/>
      <c r="G63" s="982">
        <v>4</v>
      </c>
      <c r="H63" s="1020" t="s">
        <v>445</v>
      </c>
      <c r="I63" s="987">
        <v>1</v>
      </c>
      <c r="J63" s="984">
        <v>1</v>
      </c>
      <c r="K63" s="989">
        <v>192.23320000000001</v>
      </c>
      <c r="L63" s="986">
        <f t="shared" si="1"/>
        <v>666.40840000000003</v>
      </c>
    </row>
    <row r="64" spans="1:12" x14ac:dyDescent="0.2">
      <c r="A64" s="978" t="s">
        <v>379</v>
      </c>
      <c r="B64" s="958" t="s">
        <v>639</v>
      </c>
      <c r="C64" s="979" t="s">
        <v>442</v>
      </c>
      <c r="D64" s="980" t="s">
        <v>638</v>
      </c>
      <c r="E64" s="980"/>
      <c r="F64" s="981"/>
      <c r="G64" s="982"/>
      <c r="H64" s="1020" t="s">
        <v>445</v>
      </c>
      <c r="I64" s="987"/>
      <c r="J64" s="984">
        <v>1</v>
      </c>
      <c r="K64" s="989">
        <v>265.84550000000002</v>
      </c>
      <c r="L64" s="986">
        <f t="shared" si="1"/>
        <v>0</v>
      </c>
    </row>
    <row r="65" spans="1:12" ht="24.75" customHeight="1" x14ac:dyDescent="0.2">
      <c r="A65" s="978" t="s">
        <v>379</v>
      </c>
      <c r="B65" s="958" t="s">
        <v>641</v>
      </c>
      <c r="C65" s="979" t="s">
        <v>442</v>
      </c>
      <c r="D65" s="1457" t="s">
        <v>640</v>
      </c>
      <c r="E65" s="1457"/>
      <c r="F65" s="1457"/>
      <c r="G65" s="982">
        <v>1</v>
      </c>
      <c r="H65" s="1020" t="s">
        <v>445</v>
      </c>
      <c r="I65" s="987">
        <v>1</v>
      </c>
      <c r="J65" s="984">
        <v>1</v>
      </c>
      <c r="K65" s="989">
        <v>134.80770000000001</v>
      </c>
      <c r="L65" s="986">
        <f t="shared" si="1"/>
        <v>116.83329999999999</v>
      </c>
    </row>
    <row r="66" spans="1:12" ht="30.75" customHeight="1" x14ac:dyDescent="0.2">
      <c r="A66" s="978" t="s">
        <v>379</v>
      </c>
      <c r="B66" s="958" t="s">
        <v>643</v>
      </c>
      <c r="C66" s="979" t="s">
        <v>442</v>
      </c>
      <c r="D66" s="1457" t="s">
        <v>642</v>
      </c>
      <c r="E66" s="1457"/>
      <c r="F66" s="1457"/>
      <c r="G66" s="982"/>
      <c r="H66" s="1020" t="s">
        <v>445</v>
      </c>
      <c r="I66" s="987"/>
      <c r="J66" s="984">
        <v>1</v>
      </c>
      <c r="K66" s="989">
        <v>198.30850000000001</v>
      </c>
      <c r="L66" s="986">
        <f t="shared" si="1"/>
        <v>0</v>
      </c>
    </row>
    <row r="67" spans="1:12" ht="24" customHeight="1" x14ac:dyDescent="0.2">
      <c r="A67" s="978" t="s">
        <v>379</v>
      </c>
      <c r="B67" s="958" t="s">
        <v>645</v>
      </c>
      <c r="C67" s="979" t="s">
        <v>442</v>
      </c>
      <c r="D67" s="1457" t="s">
        <v>644</v>
      </c>
      <c r="E67" s="1457"/>
      <c r="F67" s="1457"/>
      <c r="G67" s="982"/>
      <c r="H67" s="1020" t="s">
        <v>445</v>
      </c>
      <c r="I67" s="987"/>
      <c r="J67" s="984">
        <v>1</v>
      </c>
      <c r="K67" s="989">
        <v>135.44540000000001</v>
      </c>
      <c r="L67" s="986">
        <f t="shared" si="1"/>
        <v>0</v>
      </c>
    </row>
    <row r="68" spans="1:12" x14ac:dyDescent="0.2">
      <c r="A68" s="990"/>
      <c r="B68" s="991"/>
      <c r="C68" s="992"/>
      <c r="D68" s="993"/>
      <c r="E68" s="993"/>
      <c r="F68" s="994"/>
      <c r="G68" s="982"/>
      <c r="H68" s="988"/>
      <c r="I68" s="982"/>
      <c r="J68" s="982"/>
      <c r="K68" s="982"/>
      <c r="L68" s="996">
        <f t="shared" si="1"/>
        <v>0</v>
      </c>
    </row>
    <row r="69" spans="1:12" x14ac:dyDescent="0.2">
      <c r="A69" s="990"/>
      <c r="B69" s="991"/>
      <c r="C69" s="992"/>
      <c r="D69" s="1458"/>
      <c r="E69" s="1458"/>
      <c r="F69" s="1458"/>
      <c r="G69" s="982"/>
      <c r="H69" s="988"/>
      <c r="I69" s="982"/>
      <c r="J69" s="982"/>
      <c r="K69" s="982"/>
      <c r="L69" s="996">
        <f t="shared" si="1"/>
        <v>0</v>
      </c>
    </row>
    <row r="70" spans="1:12" x14ac:dyDescent="0.2">
      <c r="A70" s="997"/>
      <c r="B70" s="998"/>
      <c r="C70" s="999"/>
      <c r="D70" s="1000"/>
      <c r="E70" s="1000"/>
      <c r="F70" s="1000"/>
      <c r="G70" s="1021"/>
      <c r="H70" s="1001"/>
      <c r="I70" s="1001"/>
      <c r="J70" s="1003"/>
      <c r="K70" s="1004"/>
      <c r="L70" s="1005"/>
    </row>
    <row r="71" spans="1:12" x14ac:dyDescent="0.2">
      <c r="A71" s="1022"/>
      <c r="B71" s="1023"/>
      <c r="C71" s="1023"/>
      <c r="D71" s="1023"/>
      <c r="E71" s="1023"/>
      <c r="F71" s="1023"/>
      <c r="G71" s="1023"/>
      <c r="H71" s="1023"/>
      <c r="I71" s="1023"/>
      <c r="J71" s="1023"/>
      <c r="K71" s="1024" t="s">
        <v>446</v>
      </c>
      <c r="L71" s="1025">
        <f>ROUND(L33+L52+L60,4)</f>
        <v>3597.6795999999999</v>
      </c>
    </row>
    <row r="72" spans="1:12" x14ac:dyDescent="0.2">
      <c r="A72" s="930"/>
      <c r="B72" s="930"/>
      <c r="C72" s="930"/>
      <c r="D72" s="930"/>
      <c r="E72" s="930"/>
      <c r="F72" s="930"/>
      <c r="G72" s="930"/>
      <c r="H72" s="1023"/>
      <c r="I72" s="932"/>
      <c r="J72" s="932"/>
      <c r="K72" s="932"/>
      <c r="L72" s="932"/>
    </row>
    <row r="73" spans="1:12" ht="13.9" customHeight="1" x14ac:dyDescent="0.2">
      <c r="A73" s="1459" t="s">
        <v>447</v>
      </c>
      <c r="B73" s="1459"/>
      <c r="C73" s="1459"/>
      <c r="D73" s="1459"/>
      <c r="E73" s="932"/>
      <c r="F73" s="1460" t="s">
        <v>448</v>
      </c>
      <c r="G73" s="1460"/>
      <c r="H73" s="1460"/>
      <c r="I73" s="1460" t="s">
        <v>449</v>
      </c>
      <c r="J73" s="1460"/>
      <c r="K73" s="1460"/>
      <c r="L73" s="1452" t="s">
        <v>450</v>
      </c>
    </row>
    <row r="74" spans="1:12" x14ac:dyDescent="0.2">
      <c r="A74" s="1459"/>
      <c r="B74" s="1459"/>
      <c r="C74" s="1459"/>
      <c r="D74" s="1459"/>
      <c r="E74" s="905"/>
      <c r="F74" s="1026" t="s">
        <v>372</v>
      </c>
      <c r="G74" s="1026" t="s">
        <v>451</v>
      </c>
      <c r="H74" s="1026" t="s">
        <v>115</v>
      </c>
      <c r="I74" s="1026" t="s">
        <v>452</v>
      </c>
      <c r="J74" s="1026" t="s">
        <v>453</v>
      </c>
      <c r="K74" s="1027" t="s">
        <v>454</v>
      </c>
      <c r="L74" s="1452"/>
    </row>
    <row r="75" spans="1:12" x14ac:dyDescent="0.2">
      <c r="A75" s="1028"/>
      <c r="B75" s="1029" t="s">
        <v>455</v>
      </c>
      <c r="C75" s="1030"/>
      <c r="D75" s="1031"/>
      <c r="E75" s="1031"/>
      <c r="F75" s="1032"/>
      <c r="G75" s="1032"/>
      <c r="H75" s="1030"/>
      <c r="I75" s="1033"/>
      <c r="J75" s="1033"/>
      <c r="K75" s="1034"/>
      <c r="L75" s="1035">
        <f>ROUND(SUM(L76:L82),4)</f>
        <v>57.5411</v>
      </c>
    </row>
    <row r="76" spans="1:12" x14ac:dyDescent="0.2">
      <c r="A76" s="1036" t="s">
        <v>379</v>
      </c>
      <c r="B76" s="1037" t="s">
        <v>681</v>
      </c>
      <c r="C76" s="1038" t="s">
        <v>442</v>
      </c>
      <c r="D76" s="1039" t="s">
        <v>682</v>
      </c>
      <c r="E76" s="1039"/>
      <c r="F76" s="1040">
        <v>1</v>
      </c>
      <c r="G76" s="1041">
        <v>62.932000000000002</v>
      </c>
      <c r="H76" s="1041">
        <f t="shared" ref="H76:H81" si="2">ROUND((($F$21/$H$21+$F$22/$H$22+$F$23/$H$23))*G76,4)</f>
        <v>54.5411</v>
      </c>
      <c r="I76" s="1042">
        <v>1</v>
      </c>
      <c r="J76" s="1042">
        <v>1</v>
      </c>
      <c r="K76" s="1042">
        <v>1</v>
      </c>
      <c r="L76" s="986">
        <f t="shared" ref="L76:L81" si="3">ROUND(SUM(H76:K76)*F76,4)</f>
        <v>57.5411</v>
      </c>
    </row>
    <row r="77" spans="1:12" x14ac:dyDescent="0.2">
      <c r="A77" s="1043" t="s">
        <v>379</v>
      </c>
      <c r="B77" s="958" t="s">
        <v>683</v>
      </c>
      <c r="C77" s="979" t="s">
        <v>442</v>
      </c>
      <c r="D77" s="942" t="s">
        <v>684</v>
      </c>
      <c r="E77" s="942"/>
      <c r="F77" s="1040"/>
      <c r="G77" s="1044">
        <v>49.2333</v>
      </c>
      <c r="H77" s="1044">
        <f t="shared" si="2"/>
        <v>42.668900000000001</v>
      </c>
      <c r="I77" s="1042"/>
      <c r="J77" s="1042"/>
      <c r="K77" s="1042"/>
      <c r="L77" s="986">
        <f t="shared" si="3"/>
        <v>0</v>
      </c>
    </row>
    <row r="78" spans="1:12" x14ac:dyDescent="0.2">
      <c r="A78" s="1043" t="s">
        <v>379</v>
      </c>
      <c r="B78" s="958" t="s">
        <v>685</v>
      </c>
      <c r="C78" s="979" t="s">
        <v>442</v>
      </c>
      <c r="D78" s="942" t="s">
        <v>686</v>
      </c>
      <c r="E78" s="942"/>
      <c r="F78" s="1040"/>
      <c r="G78" s="1044">
        <v>40.504600000000003</v>
      </c>
      <c r="H78" s="1044">
        <f t="shared" si="2"/>
        <v>35.103999999999999</v>
      </c>
      <c r="I78" s="1042"/>
      <c r="J78" s="1042"/>
      <c r="K78" s="1042"/>
      <c r="L78" s="986">
        <f t="shared" si="3"/>
        <v>0</v>
      </c>
    </row>
    <row r="79" spans="1:12" x14ac:dyDescent="0.2">
      <c r="A79" s="1045"/>
      <c r="B79" s="991"/>
      <c r="C79" s="992"/>
      <c r="D79" s="1046"/>
      <c r="E79" s="1046"/>
      <c r="F79" s="1040"/>
      <c r="G79" s="1042"/>
      <c r="H79" s="1044">
        <f t="shared" si="2"/>
        <v>0</v>
      </c>
      <c r="I79" s="1042"/>
      <c r="J79" s="1042"/>
      <c r="K79" s="1042"/>
      <c r="L79" s="996">
        <f t="shared" si="3"/>
        <v>0</v>
      </c>
    </row>
    <row r="80" spans="1:12" x14ac:dyDescent="0.2">
      <c r="A80" s="1045"/>
      <c r="B80" s="991"/>
      <c r="C80" s="992"/>
      <c r="D80" s="1046"/>
      <c r="E80" s="1046"/>
      <c r="F80" s="1040"/>
      <c r="G80" s="1042"/>
      <c r="H80" s="1044">
        <f t="shared" si="2"/>
        <v>0</v>
      </c>
      <c r="I80" s="1042"/>
      <c r="J80" s="1042"/>
      <c r="K80" s="1042"/>
      <c r="L80" s="996">
        <f t="shared" si="3"/>
        <v>0</v>
      </c>
    </row>
    <row r="81" spans="1:12" x14ac:dyDescent="0.2">
      <c r="A81" s="1045"/>
      <c r="B81" s="991"/>
      <c r="C81" s="992"/>
      <c r="D81" s="1046"/>
      <c r="E81" s="1046"/>
      <c r="F81" s="1040"/>
      <c r="G81" s="1042"/>
      <c r="H81" s="1044">
        <f t="shared" si="2"/>
        <v>0</v>
      </c>
      <c r="I81" s="1042"/>
      <c r="J81" s="1042"/>
      <c r="K81" s="1042"/>
      <c r="L81" s="996">
        <f t="shared" si="3"/>
        <v>0</v>
      </c>
    </row>
    <row r="82" spans="1:12" x14ac:dyDescent="0.2">
      <c r="A82" s="997"/>
      <c r="B82" s="998"/>
      <c r="C82" s="999"/>
      <c r="D82" s="1000"/>
      <c r="E82" s="1000"/>
      <c r="F82" s="1000"/>
      <c r="G82" s="1021"/>
      <c r="H82" s="1001"/>
      <c r="I82" s="1001"/>
      <c r="J82" s="1003"/>
      <c r="K82" s="1004"/>
      <c r="L82" s="1005"/>
    </row>
    <row r="83" spans="1:12" x14ac:dyDescent="0.2">
      <c r="A83" s="1028"/>
      <c r="B83" s="1029" t="s">
        <v>456</v>
      </c>
      <c r="C83" s="1030"/>
      <c r="D83" s="1031"/>
      <c r="E83" s="1031"/>
      <c r="F83" s="1032"/>
      <c r="G83" s="1047"/>
      <c r="H83" s="1047"/>
      <c r="I83" s="1047"/>
      <c r="J83" s="1047"/>
      <c r="K83" s="1048"/>
      <c r="L83" s="968">
        <f>ROUND(SUM(L84:L89),4)</f>
        <v>26.814900000000002</v>
      </c>
    </row>
    <row r="84" spans="1:12" ht="26.25" customHeight="1" x14ac:dyDescent="0.2">
      <c r="A84" s="1043" t="s">
        <v>379</v>
      </c>
      <c r="B84" s="958" t="s">
        <v>687</v>
      </c>
      <c r="C84" s="979" t="s">
        <v>442</v>
      </c>
      <c r="D84" s="1453" t="s">
        <v>688</v>
      </c>
      <c r="E84" s="1453"/>
      <c r="F84" s="1040">
        <v>1</v>
      </c>
      <c r="G84" s="1044">
        <v>16.457000000000001</v>
      </c>
      <c r="H84" s="1044">
        <f>ROUND((($F$21/$H$21+$F$22/$H$22+$F$23/$H$23))*G84,4)</f>
        <v>14.262700000000001</v>
      </c>
      <c r="I84" s="1042">
        <v>1</v>
      </c>
      <c r="J84" s="1042">
        <v>1</v>
      </c>
      <c r="K84" s="1042"/>
      <c r="L84" s="986">
        <f>ROUND(SUM(H84:K84)*F84,4)</f>
        <v>16.262699999999999</v>
      </c>
    </row>
    <row r="85" spans="1:12" x14ac:dyDescent="0.2">
      <c r="A85" s="1043" t="s">
        <v>379</v>
      </c>
      <c r="B85" s="958" t="s">
        <v>689</v>
      </c>
      <c r="C85" s="979" t="s">
        <v>442</v>
      </c>
      <c r="D85" s="942" t="s">
        <v>690</v>
      </c>
      <c r="E85" s="942"/>
      <c r="F85" s="1040">
        <v>1</v>
      </c>
      <c r="G85" s="1044">
        <v>9.8679000000000006</v>
      </c>
      <c r="H85" s="1044">
        <f>ROUND((($F$21/$H$21+$F$22/$H$22+$F$23/$H$23))*G85,4)</f>
        <v>8.5521999999999991</v>
      </c>
      <c r="I85" s="1042">
        <v>1</v>
      </c>
      <c r="J85" s="1042">
        <v>1</v>
      </c>
      <c r="K85" s="1042"/>
      <c r="L85" s="986">
        <f>ROUND(SUM(H85:K85)*F85,4)</f>
        <v>10.552199999999999</v>
      </c>
    </row>
    <row r="86" spans="1:12" x14ac:dyDescent="0.2">
      <c r="A86" s="1045"/>
      <c r="B86" s="991"/>
      <c r="C86" s="992"/>
      <c r="D86" s="1046"/>
      <c r="E86" s="1046"/>
      <c r="F86" s="1040"/>
      <c r="G86" s="1042"/>
      <c r="H86" s="1044">
        <f>ROUND((($F$21/$H$21+$F$22/$H$22+$F$23/$H$23))*G86,4)</f>
        <v>0</v>
      </c>
      <c r="I86" s="1042"/>
      <c r="J86" s="1042"/>
      <c r="K86" s="1042"/>
      <c r="L86" s="996">
        <f>ROUND(SUM(H86:K86)*F86,4)</f>
        <v>0</v>
      </c>
    </row>
    <row r="87" spans="1:12" x14ac:dyDescent="0.2">
      <c r="A87" s="1045"/>
      <c r="B87" s="991"/>
      <c r="C87" s="992"/>
      <c r="D87" s="1046"/>
      <c r="E87" s="1046"/>
      <c r="F87" s="1040"/>
      <c r="G87" s="1042"/>
      <c r="H87" s="1044">
        <f>ROUND((($F$21/$H$21+$F$22/$H$22+$F$23/$H$23))*G87,4)</f>
        <v>0</v>
      </c>
      <c r="I87" s="1042"/>
      <c r="J87" s="1042"/>
      <c r="K87" s="1042"/>
      <c r="L87" s="996">
        <f>ROUND(SUM(H87:K87)*F87,4)</f>
        <v>0</v>
      </c>
    </row>
    <row r="88" spans="1:12" x14ac:dyDescent="0.2">
      <c r="A88" s="1045"/>
      <c r="B88" s="991"/>
      <c r="C88" s="992"/>
      <c r="D88" s="1046"/>
      <c r="E88" s="1046"/>
      <c r="F88" s="1040"/>
      <c r="G88" s="1042"/>
      <c r="H88" s="1044">
        <f>ROUND((($F$21/$H$21+$F$22/$H$22+$F$23/$H$23))*G88,4)</f>
        <v>0</v>
      </c>
      <c r="I88" s="1042"/>
      <c r="J88" s="1042"/>
      <c r="K88" s="1042"/>
      <c r="L88" s="996">
        <f>ROUND(SUM(H88:K88)*F88,4)</f>
        <v>0</v>
      </c>
    </row>
    <row r="89" spans="1:12" x14ac:dyDescent="0.2">
      <c r="A89" s="997"/>
      <c r="B89" s="998"/>
      <c r="C89" s="999"/>
      <c r="D89" s="1000"/>
      <c r="E89" s="1000"/>
      <c r="F89" s="1000"/>
      <c r="G89" s="1021"/>
      <c r="H89" s="1001"/>
      <c r="I89" s="1001"/>
      <c r="J89" s="1003"/>
      <c r="K89" s="1004"/>
      <c r="L89" s="1005"/>
    </row>
    <row r="90" spans="1:12" x14ac:dyDescent="0.2">
      <c r="A90" s="1028"/>
      <c r="B90" s="1029" t="s">
        <v>457</v>
      </c>
      <c r="C90" s="1030"/>
      <c r="D90" s="1031"/>
      <c r="E90" s="1031"/>
      <c r="F90" s="1032"/>
      <c r="G90" s="1047"/>
      <c r="H90" s="1047"/>
      <c r="I90" s="1047"/>
      <c r="J90" s="1047"/>
      <c r="K90" s="1048"/>
      <c r="L90" s="968">
        <f>ROUND(SUM(L91:L98),4)</f>
        <v>279.62150000000003</v>
      </c>
    </row>
    <row r="91" spans="1:12" x14ac:dyDescent="0.2">
      <c r="A91" s="1043" t="s">
        <v>379</v>
      </c>
      <c r="B91" s="958" t="s">
        <v>691</v>
      </c>
      <c r="C91" s="979" t="s">
        <v>442</v>
      </c>
      <c r="D91" s="942" t="s">
        <v>692</v>
      </c>
      <c r="E91" s="942"/>
      <c r="F91" s="1040">
        <v>1</v>
      </c>
      <c r="G91" s="1044">
        <v>19.903300000000002</v>
      </c>
      <c r="H91" s="1044">
        <f t="shared" ref="H91:H97" si="4">ROUND((($F$21/$H$21+$F$22/$H$22+$F$23/$H$23))*G91,4)</f>
        <v>17.249500000000001</v>
      </c>
      <c r="I91" s="1042">
        <v>1</v>
      </c>
      <c r="J91" s="1042">
        <v>1</v>
      </c>
      <c r="K91" s="1042"/>
      <c r="L91" s="986">
        <f t="shared" ref="L91:L97" si="5">ROUND(SUM(H91:K91)*F91,4)</f>
        <v>19.249500000000001</v>
      </c>
    </row>
    <row r="92" spans="1:12" x14ac:dyDescent="0.2">
      <c r="A92" s="1043" t="s">
        <v>379</v>
      </c>
      <c r="B92" s="958" t="s">
        <v>693</v>
      </c>
      <c r="C92" s="979" t="s">
        <v>442</v>
      </c>
      <c r="D92" s="942" t="s">
        <v>694</v>
      </c>
      <c r="E92" s="942"/>
      <c r="F92" s="1040">
        <v>7</v>
      </c>
      <c r="G92" s="1044">
        <v>26.764600000000002</v>
      </c>
      <c r="H92" s="1044">
        <f t="shared" si="4"/>
        <v>23.196000000000002</v>
      </c>
      <c r="I92" s="1042">
        <v>7</v>
      </c>
      <c r="J92" s="1042">
        <v>7</v>
      </c>
      <c r="K92" s="1042"/>
      <c r="L92" s="986">
        <f t="shared" si="5"/>
        <v>260.37200000000001</v>
      </c>
    </row>
    <row r="93" spans="1:12" x14ac:dyDescent="0.2">
      <c r="A93" s="1043" t="s">
        <v>379</v>
      </c>
      <c r="B93" s="958" t="s">
        <v>695</v>
      </c>
      <c r="C93" s="979" t="s">
        <v>442</v>
      </c>
      <c r="D93" s="942" t="s">
        <v>696</v>
      </c>
      <c r="E93" s="942"/>
      <c r="F93" s="1040"/>
      <c r="G93" s="1044">
        <v>36.762599999999999</v>
      </c>
      <c r="H93" s="1044">
        <f t="shared" si="4"/>
        <v>31.860900000000001</v>
      </c>
      <c r="I93" s="1042"/>
      <c r="J93" s="1042"/>
      <c r="K93" s="1042"/>
      <c r="L93" s="986">
        <f t="shared" si="5"/>
        <v>0</v>
      </c>
    </row>
    <row r="94" spans="1:12" x14ac:dyDescent="0.2">
      <c r="A94" s="1045"/>
      <c r="B94" s="991"/>
      <c r="C94" s="992"/>
      <c r="D94" s="1046"/>
      <c r="E94" s="1046"/>
      <c r="F94" s="1040"/>
      <c r="G94" s="1042"/>
      <c r="H94" s="1044">
        <f t="shared" si="4"/>
        <v>0</v>
      </c>
      <c r="I94" s="1042"/>
      <c r="J94" s="1042"/>
      <c r="K94" s="1042"/>
      <c r="L94" s="996">
        <f t="shared" si="5"/>
        <v>0</v>
      </c>
    </row>
    <row r="95" spans="1:12" x14ac:dyDescent="0.2">
      <c r="A95" s="1045"/>
      <c r="B95" s="991"/>
      <c r="C95" s="992"/>
      <c r="D95" s="1046"/>
      <c r="E95" s="1046"/>
      <c r="F95" s="1040"/>
      <c r="G95" s="1042"/>
      <c r="H95" s="1044">
        <f t="shared" si="4"/>
        <v>0</v>
      </c>
      <c r="I95" s="1042"/>
      <c r="J95" s="1042"/>
      <c r="K95" s="1042"/>
      <c r="L95" s="996">
        <f t="shared" si="5"/>
        <v>0</v>
      </c>
    </row>
    <row r="96" spans="1:12" x14ac:dyDescent="0.2">
      <c r="A96" s="1045"/>
      <c r="B96" s="991"/>
      <c r="C96" s="992"/>
      <c r="D96" s="1046"/>
      <c r="E96" s="1046"/>
      <c r="F96" s="1040"/>
      <c r="G96" s="1042"/>
      <c r="H96" s="1044">
        <f t="shared" si="4"/>
        <v>0</v>
      </c>
      <c r="I96" s="1042"/>
      <c r="J96" s="1042"/>
      <c r="K96" s="1042"/>
      <c r="L96" s="996">
        <f t="shared" si="5"/>
        <v>0</v>
      </c>
    </row>
    <row r="97" spans="1:12" x14ac:dyDescent="0.2">
      <c r="A97" s="1045"/>
      <c r="B97" s="991"/>
      <c r="C97" s="992"/>
      <c r="D97" s="1046"/>
      <c r="E97" s="1046"/>
      <c r="F97" s="1040"/>
      <c r="G97" s="1042"/>
      <c r="H97" s="1044">
        <f t="shared" si="4"/>
        <v>0</v>
      </c>
      <c r="I97" s="1042"/>
      <c r="J97" s="1042"/>
      <c r="K97" s="1042"/>
      <c r="L97" s="996">
        <f t="shared" si="5"/>
        <v>0</v>
      </c>
    </row>
    <row r="98" spans="1:12" x14ac:dyDescent="0.2">
      <c r="A98" s="997"/>
      <c r="B98" s="998"/>
      <c r="C98" s="999"/>
      <c r="D98" s="1000"/>
      <c r="E98" s="1000"/>
      <c r="F98" s="1000"/>
      <c r="G98" s="1021"/>
      <c r="H98" s="1001"/>
      <c r="I98" s="1001"/>
      <c r="J98" s="1003"/>
      <c r="K98" s="1004"/>
      <c r="L98" s="1005"/>
    </row>
    <row r="99" spans="1:12" x14ac:dyDescent="0.2">
      <c r="A99" s="1028"/>
      <c r="B99" s="1029" t="s">
        <v>458</v>
      </c>
      <c r="C99" s="1030"/>
      <c r="D99" s="1031"/>
      <c r="E99" s="1031"/>
      <c r="F99" s="1032"/>
      <c r="G99" s="1047"/>
      <c r="H99" s="1047"/>
      <c r="I99" s="1047"/>
      <c r="J99" s="1047"/>
      <c r="K99" s="1048"/>
      <c r="L99" s="968">
        <f>ROUND(SUM(L100:L115),4)</f>
        <v>286.35840000000002</v>
      </c>
    </row>
    <row r="100" spans="1:12" x14ac:dyDescent="0.2">
      <c r="A100" s="1043" t="s">
        <v>379</v>
      </c>
      <c r="B100" s="958" t="s">
        <v>697</v>
      </c>
      <c r="C100" s="979" t="s">
        <v>442</v>
      </c>
      <c r="D100" s="942" t="s">
        <v>698</v>
      </c>
      <c r="E100" s="942"/>
      <c r="F100" s="1040">
        <v>7</v>
      </c>
      <c r="G100" s="1044">
        <v>16.13</v>
      </c>
      <c r="H100" s="1044">
        <f t="shared" ref="H100:H114" si="6">ROUND((($F$21/$H$21+$F$22/$H$22+$F$23/$H$23))*G100,4)</f>
        <v>13.9793</v>
      </c>
      <c r="I100" s="1042">
        <v>7</v>
      </c>
      <c r="J100" s="1042">
        <v>7</v>
      </c>
      <c r="K100" s="1042"/>
      <c r="L100" s="986">
        <f t="shared" ref="L100:L114" si="7">ROUND(SUM(H100:K100)*F100,4)</f>
        <v>195.85509999999999</v>
      </c>
    </row>
    <row r="101" spans="1:12" x14ac:dyDescent="0.2">
      <c r="A101" s="1043" t="s">
        <v>379</v>
      </c>
      <c r="B101" s="958" t="s">
        <v>699</v>
      </c>
      <c r="C101" s="979" t="s">
        <v>442</v>
      </c>
      <c r="D101" s="942" t="s">
        <v>700</v>
      </c>
      <c r="E101" s="942"/>
      <c r="F101" s="1040">
        <v>1</v>
      </c>
      <c r="G101" s="1044">
        <v>16.170400000000001</v>
      </c>
      <c r="H101" s="1044">
        <f t="shared" si="6"/>
        <v>14.0143</v>
      </c>
      <c r="I101" s="1042">
        <v>1</v>
      </c>
      <c r="J101" s="1042">
        <v>1</v>
      </c>
      <c r="K101" s="1042"/>
      <c r="L101" s="986">
        <f t="shared" si="7"/>
        <v>16.014299999999999</v>
      </c>
    </row>
    <row r="102" spans="1:12" x14ac:dyDescent="0.2">
      <c r="A102" s="1043" t="s">
        <v>379</v>
      </c>
      <c r="B102" s="958" t="s">
        <v>701</v>
      </c>
      <c r="C102" s="979" t="s">
        <v>442</v>
      </c>
      <c r="D102" s="942" t="s">
        <v>702</v>
      </c>
      <c r="E102" s="942"/>
      <c r="F102" s="1040"/>
      <c r="G102" s="1044">
        <v>20.075600000000001</v>
      </c>
      <c r="H102" s="1044">
        <f t="shared" si="6"/>
        <v>17.398900000000001</v>
      </c>
      <c r="I102" s="1042"/>
      <c r="J102" s="1042"/>
      <c r="K102" s="1042"/>
      <c r="L102" s="986">
        <f t="shared" si="7"/>
        <v>0</v>
      </c>
    </row>
    <row r="103" spans="1:12" x14ac:dyDescent="0.2">
      <c r="A103" s="1043" t="s">
        <v>379</v>
      </c>
      <c r="B103" s="958" t="s">
        <v>703</v>
      </c>
      <c r="C103" s="979" t="s">
        <v>442</v>
      </c>
      <c r="D103" s="942" t="s">
        <v>704</v>
      </c>
      <c r="E103" s="942"/>
      <c r="F103" s="1040">
        <v>1</v>
      </c>
      <c r="G103" s="1044">
        <v>16.728200000000001</v>
      </c>
      <c r="H103" s="1044">
        <f t="shared" si="6"/>
        <v>14.4978</v>
      </c>
      <c r="I103" s="1042">
        <v>1</v>
      </c>
      <c r="J103" s="1042">
        <v>1</v>
      </c>
      <c r="K103" s="1042"/>
      <c r="L103" s="986">
        <f t="shared" si="7"/>
        <v>16.497800000000002</v>
      </c>
    </row>
    <row r="104" spans="1:12" x14ac:dyDescent="0.2">
      <c r="A104" s="1043" t="s">
        <v>379</v>
      </c>
      <c r="B104" s="958" t="s">
        <v>705</v>
      </c>
      <c r="C104" s="979" t="s">
        <v>442</v>
      </c>
      <c r="D104" s="942" t="s">
        <v>706</v>
      </c>
      <c r="E104" s="942"/>
      <c r="F104" s="1040"/>
      <c r="G104" s="1044">
        <v>20.165199999999999</v>
      </c>
      <c r="H104" s="1044">
        <f t="shared" si="6"/>
        <v>17.476500000000001</v>
      </c>
      <c r="I104" s="1042"/>
      <c r="J104" s="1042"/>
      <c r="K104" s="1042"/>
      <c r="L104" s="986">
        <f t="shared" si="7"/>
        <v>0</v>
      </c>
    </row>
    <row r="105" spans="1:12" x14ac:dyDescent="0.2">
      <c r="A105" s="1043" t="s">
        <v>379</v>
      </c>
      <c r="B105" s="958" t="s">
        <v>707</v>
      </c>
      <c r="C105" s="979" t="s">
        <v>442</v>
      </c>
      <c r="D105" s="942" t="s">
        <v>708</v>
      </c>
      <c r="E105" s="942"/>
      <c r="F105" s="1040"/>
      <c r="G105" s="1044">
        <v>19.5016</v>
      </c>
      <c r="H105" s="1044">
        <f t="shared" si="6"/>
        <v>16.901399999999999</v>
      </c>
      <c r="I105" s="1042"/>
      <c r="J105" s="1042"/>
      <c r="K105" s="1042"/>
      <c r="L105" s="986">
        <f t="shared" si="7"/>
        <v>0</v>
      </c>
    </row>
    <row r="106" spans="1:12" x14ac:dyDescent="0.2">
      <c r="A106" s="1043" t="s">
        <v>379</v>
      </c>
      <c r="B106" s="958" t="s">
        <v>709</v>
      </c>
      <c r="C106" s="979" t="s">
        <v>442</v>
      </c>
      <c r="D106" s="942" t="s">
        <v>710</v>
      </c>
      <c r="E106" s="942"/>
      <c r="F106" s="1040"/>
      <c r="G106" s="1044">
        <v>19.372399999999999</v>
      </c>
      <c r="H106" s="1044">
        <f t="shared" si="6"/>
        <v>16.789400000000001</v>
      </c>
      <c r="I106" s="1042"/>
      <c r="J106" s="1042"/>
      <c r="K106" s="1042"/>
      <c r="L106" s="986">
        <f t="shared" si="7"/>
        <v>0</v>
      </c>
    </row>
    <row r="107" spans="1:12" x14ac:dyDescent="0.2">
      <c r="A107" s="1043" t="s">
        <v>379</v>
      </c>
      <c r="B107" s="958" t="s">
        <v>711</v>
      </c>
      <c r="C107" s="979" t="s">
        <v>442</v>
      </c>
      <c r="D107" s="942" t="s">
        <v>712</v>
      </c>
      <c r="E107" s="942"/>
      <c r="F107" s="1040"/>
      <c r="G107" s="1044">
        <v>19.680499999999999</v>
      </c>
      <c r="H107" s="1044">
        <f t="shared" si="6"/>
        <v>17.0564</v>
      </c>
      <c r="I107" s="1042"/>
      <c r="J107" s="1042"/>
      <c r="K107" s="1042"/>
      <c r="L107" s="986">
        <f t="shared" si="7"/>
        <v>0</v>
      </c>
    </row>
    <row r="108" spans="1:12" x14ac:dyDescent="0.2">
      <c r="A108" s="1043" t="s">
        <v>379</v>
      </c>
      <c r="B108" s="958" t="s">
        <v>713</v>
      </c>
      <c r="C108" s="979" t="s">
        <v>442</v>
      </c>
      <c r="D108" s="942" t="s">
        <v>714</v>
      </c>
      <c r="E108" s="942"/>
      <c r="F108" s="1040">
        <v>3</v>
      </c>
      <c r="G108" s="1044">
        <v>15.3812</v>
      </c>
      <c r="H108" s="1044">
        <f t="shared" si="6"/>
        <v>13.330399999999999</v>
      </c>
      <c r="I108" s="1042">
        <v>3</v>
      </c>
      <c r="J108" s="1042">
        <v>3</v>
      </c>
      <c r="K108" s="1042"/>
      <c r="L108" s="986">
        <f t="shared" si="7"/>
        <v>57.991199999999999</v>
      </c>
    </row>
    <row r="109" spans="1:12" x14ac:dyDescent="0.2">
      <c r="A109" s="1043" t="s">
        <v>379</v>
      </c>
      <c r="B109" s="958" t="s">
        <v>715</v>
      </c>
      <c r="C109" s="979" t="s">
        <v>442</v>
      </c>
      <c r="D109" s="942" t="s">
        <v>716</v>
      </c>
      <c r="E109" s="942"/>
      <c r="F109" s="1040"/>
      <c r="G109" s="1044">
        <v>15.3812</v>
      </c>
      <c r="H109" s="1044">
        <f t="shared" si="6"/>
        <v>13.330399999999999</v>
      </c>
      <c r="I109" s="1042"/>
      <c r="J109" s="1042"/>
      <c r="K109" s="1042"/>
      <c r="L109" s="986">
        <f t="shared" si="7"/>
        <v>0</v>
      </c>
    </row>
    <row r="110" spans="1:12" x14ac:dyDescent="0.2">
      <c r="A110" s="1043" t="s">
        <v>379</v>
      </c>
      <c r="B110" s="958" t="s">
        <v>717</v>
      </c>
      <c r="C110" s="979" t="s">
        <v>442</v>
      </c>
      <c r="D110" s="942" t="s">
        <v>718</v>
      </c>
      <c r="E110" s="942"/>
      <c r="F110" s="1040"/>
      <c r="G110" s="1044">
        <v>22.028099999999998</v>
      </c>
      <c r="H110" s="1044">
        <f t="shared" si="6"/>
        <v>19.091000000000001</v>
      </c>
      <c r="I110" s="1042"/>
      <c r="J110" s="1042"/>
      <c r="K110" s="1042"/>
      <c r="L110" s="986">
        <f t="shared" si="7"/>
        <v>0</v>
      </c>
    </row>
    <row r="111" spans="1:12" x14ac:dyDescent="0.2">
      <c r="A111" s="1043" t="s">
        <v>379</v>
      </c>
      <c r="B111" s="958" t="s">
        <v>719</v>
      </c>
      <c r="C111" s="979" t="s">
        <v>442</v>
      </c>
      <c r="D111" s="942" t="s">
        <v>720</v>
      </c>
      <c r="E111" s="942"/>
      <c r="F111" s="1040"/>
      <c r="G111" s="1044">
        <v>28.9116</v>
      </c>
      <c r="H111" s="1044">
        <f t="shared" si="6"/>
        <v>25.056699999999999</v>
      </c>
      <c r="I111" s="1042"/>
      <c r="J111" s="1042"/>
      <c r="K111" s="1042"/>
      <c r="L111" s="986">
        <f t="shared" si="7"/>
        <v>0</v>
      </c>
    </row>
    <row r="112" spans="1:12" x14ac:dyDescent="0.2">
      <c r="A112" s="1045"/>
      <c r="B112" s="991"/>
      <c r="C112" s="992"/>
      <c r="D112" s="1046"/>
      <c r="E112" s="1046"/>
      <c r="F112" s="1040"/>
      <c r="G112" s="1042"/>
      <c r="H112" s="1044">
        <f t="shared" si="6"/>
        <v>0</v>
      </c>
      <c r="I112" s="1042"/>
      <c r="J112" s="1042"/>
      <c r="K112" s="1042"/>
      <c r="L112" s="996">
        <f t="shared" si="7"/>
        <v>0</v>
      </c>
    </row>
    <row r="113" spans="1:12" x14ac:dyDescent="0.2">
      <c r="A113" s="1045"/>
      <c r="B113" s="991"/>
      <c r="C113" s="992"/>
      <c r="D113" s="1046"/>
      <c r="E113" s="1046"/>
      <c r="F113" s="1040"/>
      <c r="G113" s="1042"/>
      <c r="H113" s="1044">
        <f t="shared" si="6"/>
        <v>0</v>
      </c>
      <c r="I113" s="1042"/>
      <c r="J113" s="1042"/>
      <c r="K113" s="1042"/>
      <c r="L113" s="996">
        <f t="shared" si="7"/>
        <v>0</v>
      </c>
    </row>
    <row r="114" spans="1:12" x14ac:dyDescent="0.2">
      <c r="A114" s="1045"/>
      <c r="B114" s="991"/>
      <c r="C114" s="992"/>
      <c r="D114" s="1046"/>
      <c r="E114" s="1046"/>
      <c r="F114" s="1040"/>
      <c r="G114" s="1042"/>
      <c r="H114" s="1044">
        <f t="shared" si="6"/>
        <v>0</v>
      </c>
      <c r="I114" s="1042"/>
      <c r="J114" s="1042"/>
      <c r="K114" s="1042"/>
      <c r="L114" s="996">
        <f t="shared" si="7"/>
        <v>0</v>
      </c>
    </row>
    <row r="115" spans="1:12" x14ac:dyDescent="0.2">
      <c r="A115" s="997"/>
      <c r="B115" s="998"/>
      <c r="C115" s="999"/>
      <c r="D115" s="1000"/>
      <c r="E115" s="1000"/>
      <c r="F115" s="1000"/>
      <c r="G115" s="1021"/>
      <c r="H115" s="1001"/>
      <c r="I115" s="1001"/>
      <c r="J115" s="1003"/>
      <c r="K115" s="1004"/>
      <c r="L115" s="1005"/>
    </row>
    <row r="116" spans="1:12" x14ac:dyDescent="0.2">
      <c r="A116" s="1022"/>
      <c r="B116" s="1023"/>
      <c r="C116" s="1023"/>
      <c r="D116" s="1023"/>
      <c r="E116" s="1023"/>
      <c r="F116" s="1023"/>
      <c r="G116" s="1023"/>
      <c r="H116" s="1023"/>
      <c r="I116" s="1023"/>
      <c r="J116" s="1023"/>
      <c r="K116" s="1024" t="s">
        <v>459</v>
      </c>
      <c r="L116" s="1025">
        <f>ROUND(L75+L83+L90+L99,4)</f>
        <v>650.33590000000004</v>
      </c>
    </row>
    <row r="117" spans="1:12" x14ac:dyDescent="0.2">
      <c r="A117" s="1049"/>
      <c r="B117" s="1049"/>
      <c r="C117" s="1049"/>
      <c r="D117" s="1049"/>
      <c r="E117" s="1049"/>
      <c r="F117" s="1049"/>
      <c r="G117" s="932"/>
      <c r="H117" s="1050"/>
      <c r="I117" s="1050"/>
      <c r="J117" s="1051"/>
      <c r="K117" s="1052"/>
      <c r="L117" s="1053"/>
    </row>
    <row r="118" spans="1:12" x14ac:dyDescent="0.2">
      <c r="A118" s="1454" t="s">
        <v>460</v>
      </c>
      <c r="B118" s="1454"/>
      <c r="C118" s="1454"/>
      <c r="D118" s="1454"/>
      <c r="E118" s="1454"/>
      <c r="F118" s="1454"/>
      <c r="G118" s="1454"/>
      <c r="H118" s="1454"/>
      <c r="I118" s="1454"/>
      <c r="J118" s="1454"/>
      <c r="K118" s="1454"/>
      <c r="L118" s="1025">
        <f>ROUND(L71+L116,4)</f>
        <v>4248.0155000000004</v>
      </c>
    </row>
    <row r="119" spans="1:12" x14ac:dyDescent="0.2">
      <c r="A119" s="1455" t="s">
        <v>461</v>
      </c>
      <c r="B119" s="1455"/>
      <c r="C119" s="1455"/>
      <c r="D119" s="1455"/>
      <c r="E119" s="1455"/>
      <c r="F119" s="1455"/>
      <c r="G119" s="1455"/>
      <c r="H119" s="1455"/>
      <c r="I119" s="1455"/>
      <c r="J119" s="1455"/>
      <c r="K119" s="1055">
        <v>0.25569999999999998</v>
      </c>
      <c r="L119" s="1056">
        <f>ROUND(L118*K119,4)</f>
        <v>1086.2175999999999</v>
      </c>
    </row>
    <row r="120" spans="1:12" x14ac:dyDescent="0.2">
      <c r="A120" s="1456" t="s">
        <v>462</v>
      </c>
      <c r="B120" s="1456"/>
      <c r="C120" s="1456"/>
      <c r="D120" s="1456"/>
      <c r="E120" s="1456"/>
      <c r="F120" s="1456"/>
      <c r="G120" s="1456"/>
      <c r="H120" s="1456"/>
      <c r="I120" s="1456"/>
      <c r="J120" s="1456"/>
      <c r="K120" s="1456"/>
      <c r="L120" s="1057">
        <f>ROUND(L118+L119,2)</f>
        <v>5334.23</v>
      </c>
    </row>
    <row r="121" spans="1:12" x14ac:dyDescent="0.2">
      <c r="A121" s="1058"/>
      <c r="B121" s="1058"/>
      <c r="C121" s="1058"/>
      <c r="D121" s="1058"/>
      <c r="E121" s="1058"/>
      <c r="F121" s="1058"/>
      <c r="G121" s="1058"/>
      <c r="H121" s="1058"/>
      <c r="I121" s="1058"/>
      <c r="J121" s="1058"/>
      <c r="K121" s="1058"/>
      <c r="L121" s="1058"/>
    </row>
    <row r="122" spans="1:12" x14ac:dyDescent="0.2">
      <c r="A122" s="1058"/>
      <c r="B122" s="1058"/>
      <c r="C122" s="1058"/>
      <c r="D122" s="1058"/>
      <c r="E122" s="1058"/>
      <c r="F122" s="1058"/>
      <c r="G122" s="1058"/>
      <c r="H122" s="1058"/>
      <c r="I122" s="1058"/>
      <c r="J122" s="1058"/>
      <c r="K122" s="1058"/>
      <c r="L122" s="1058"/>
    </row>
    <row r="123" spans="1:12" x14ac:dyDescent="0.2">
      <c r="A123" s="1058"/>
      <c r="B123" s="1058"/>
      <c r="C123" s="1058"/>
      <c r="D123" s="1058"/>
      <c r="E123" s="1058"/>
      <c r="F123" s="1058"/>
      <c r="G123" s="1058"/>
      <c r="H123" s="1058"/>
      <c r="I123" s="1058"/>
      <c r="J123" s="1058"/>
      <c r="K123" s="1058"/>
      <c r="L123" s="1058"/>
    </row>
    <row r="124" spans="1:12" x14ac:dyDescent="0.2">
      <c r="A124" s="1058"/>
      <c r="B124" s="1058"/>
      <c r="C124" s="1058"/>
      <c r="D124" s="1058"/>
      <c r="E124" s="1058"/>
      <c r="F124" s="1058"/>
      <c r="G124" s="1058"/>
      <c r="H124" s="1058"/>
      <c r="I124" s="1058"/>
      <c r="J124" s="1058"/>
      <c r="K124" s="1058"/>
      <c r="L124" s="1058"/>
    </row>
    <row r="125" spans="1:12" x14ac:dyDescent="0.2">
      <c r="A125" s="1058"/>
      <c r="B125" s="1058"/>
      <c r="C125" s="1058"/>
      <c r="D125" s="1058"/>
      <c r="E125" s="1058"/>
      <c r="F125" s="1058"/>
      <c r="G125" s="1058"/>
      <c r="H125" s="1058"/>
      <c r="I125" s="1058"/>
      <c r="J125" s="1058"/>
      <c r="K125" s="1058"/>
      <c r="L125" s="1058"/>
    </row>
    <row r="126" spans="1:12" x14ac:dyDescent="0.2">
      <c r="A126" s="1058"/>
      <c r="B126" s="1058"/>
      <c r="C126" s="1058"/>
      <c r="D126" s="1058"/>
      <c r="E126" s="1058"/>
      <c r="F126" s="1058"/>
      <c r="G126" s="1058"/>
      <c r="H126" s="1058"/>
      <c r="I126" s="1058"/>
      <c r="J126" s="1058"/>
      <c r="K126" s="1058"/>
      <c r="L126" s="1058"/>
    </row>
    <row r="127" spans="1:12" x14ac:dyDescent="0.2">
      <c r="A127" s="1058"/>
      <c r="B127" s="1058"/>
      <c r="C127" s="1058"/>
      <c r="D127" s="1058"/>
      <c r="E127" s="1058"/>
      <c r="F127" s="1058"/>
      <c r="G127" s="1058"/>
      <c r="H127" s="1058"/>
      <c r="I127" s="1058"/>
      <c r="J127" s="1058"/>
      <c r="K127" s="1058"/>
      <c r="L127" s="1058"/>
    </row>
    <row r="128" spans="1:12" x14ac:dyDescent="0.2">
      <c r="A128" s="1058"/>
      <c r="B128" s="1058"/>
      <c r="C128" s="1058"/>
      <c r="D128" s="1058"/>
      <c r="E128" s="1058"/>
      <c r="F128" s="1058"/>
      <c r="G128" s="1058"/>
      <c r="H128" s="1058"/>
      <c r="I128" s="1058"/>
      <c r="J128" s="1058"/>
      <c r="K128" s="1058"/>
      <c r="L128" s="1058"/>
    </row>
    <row r="129" spans="1:12" x14ac:dyDescent="0.2">
      <c r="A129" s="1058"/>
      <c r="B129" s="1058"/>
      <c r="C129" s="1058"/>
      <c r="D129" s="1058"/>
      <c r="E129" s="1058"/>
      <c r="F129" s="1058"/>
      <c r="G129" s="1058"/>
      <c r="H129" s="1058"/>
      <c r="I129" s="1058"/>
      <c r="J129" s="1058"/>
      <c r="K129" s="1058"/>
      <c r="L129" s="1058"/>
    </row>
    <row r="130" spans="1:12" x14ac:dyDescent="0.2">
      <c r="A130" s="1059" t="s">
        <v>463</v>
      </c>
      <c r="B130" s="1060"/>
      <c r="C130" s="1061"/>
      <c r="D130" s="1061"/>
      <c r="E130" s="1061"/>
      <c r="F130" s="1061"/>
      <c r="G130" s="1061"/>
      <c r="H130" s="1061"/>
      <c r="I130" s="1061"/>
      <c r="J130" s="1061"/>
      <c r="K130" s="1061"/>
      <c r="L130" s="1062"/>
    </row>
    <row r="131" spans="1:12" ht="22.5" customHeight="1" x14ac:dyDescent="0.2">
      <c r="A131" s="1063" t="s">
        <v>464</v>
      </c>
      <c r="B131" s="1450" t="s">
        <v>465</v>
      </c>
      <c r="C131" s="1450"/>
      <c r="D131" s="1450"/>
      <c r="E131" s="1450"/>
      <c r="F131" s="1450"/>
      <c r="G131" s="1450"/>
      <c r="H131" s="1450"/>
      <c r="I131" s="1450"/>
      <c r="J131" s="1450"/>
      <c r="K131" s="1450"/>
      <c r="L131" s="1450"/>
    </row>
    <row r="132" spans="1:12" x14ac:dyDescent="0.2">
      <c r="A132" s="1065"/>
      <c r="B132" s="1066"/>
      <c r="C132" s="1066"/>
      <c r="D132" s="1066"/>
      <c r="E132" s="1066"/>
      <c r="F132" s="1066"/>
      <c r="G132" s="1066"/>
      <c r="H132" s="1066"/>
      <c r="I132" s="1066"/>
      <c r="J132" s="1066"/>
      <c r="K132" s="1066"/>
      <c r="L132" s="1064"/>
    </row>
    <row r="133" spans="1:12" x14ac:dyDescent="0.2">
      <c r="A133" s="1065"/>
      <c r="B133" s="1067" t="s">
        <v>466</v>
      </c>
      <c r="C133" s="1068"/>
      <c r="D133" s="1068"/>
      <c r="E133" s="1068"/>
      <c r="F133" s="1068"/>
      <c r="G133" s="1068"/>
      <c r="H133" s="1068"/>
      <c r="I133" s="1068"/>
      <c r="J133" s="1068"/>
      <c r="K133" s="1068"/>
      <c r="L133" s="1069"/>
    </row>
    <row r="134" spans="1:12" ht="32.25" customHeight="1" x14ac:dyDescent="0.2">
      <c r="A134" s="1065"/>
      <c r="B134" s="1070" t="s">
        <v>467</v>
      </c>
      <c r="C134" s="1450" t="s">
        <v>468</v>
      </c>
      <c r="D134" s="1450"/>
      <c r="E134" s="1450"/>
      <c r="F134" s="1450"/>
      <c r="G134" s="1450"/>
      <c r="H134" s="1450"/>
      <c r="I134" s="1450"/>
      <c r="J134" s="1450"/>
      <c r="K134" s="1450"/>
      <c r="L134" s="1450"/>
    </row>
    <row r="135" spans="1:12" ht="32.25" customHeight="1" x14ac:dyDescent="0.2">
      <c r="A135" s="1065"/>
      <c r="B135" s="1070" t="s">
        <v>469</v>
      </c>
      <c r="C135" s="1450" t="s">
        <v>470</v>
      </c>
      <c r="D135" s="1450"/>
      <c r="E135" s="1450"/>
      <c r="F135" s="1450"/>
      <c r="G135" s="1450"/>
      <c r="H135" s="1450"/>
      <c r="I135" s="1450"/>
      <c r="J135" s="1450"/>
      <c r="K135" s="1450"/>
      <c r="L135" s="1450"/>
    </row>
    <row r="136" spans="1:12" ht="32.25" customHeight="1" x14ac:dyDescent="0.2">
      <c r="A136" s="1065"/>
      <c r="B136" s="1070" t="s">
        <v>311</v>
      </c>
      <c r="C136" s="1450" t="s">
        <v>471</v>
      </c>
      <c r="D136" s="1450"/>
      <c r="E136" s="1450"/>
      <c r="F136" s="1450"/>
      <c r="G136" s="1450"/>
      <c r="H136" s="1450"/>
      <c r="I136" s="1450"/>
      <c r="J136" s="1450"/>
      <c r="K136" s="1450"/>
      <c r="L136" s="1450"/>
    </row>
    <row r="137" spans="1:12" ht="22.5" customHeight="1" x14ac:dyDescent="0.2">
      <c r="A137" s="1065"/>
      <c r="B137" s="1070" t="s">
        <v>472</v>
      </c>
      <c r="C137" s="1451" t="s">
        <v>473</v>
      </c>
      <c r="D137" s="1451"/>
      <c r="E137" s="1451"/>
      <c r="F137" s="1451"/>
      <c r="G137" s="1451"/>
      <c r="H137" s="1451"/>
      <c r="I137" s="1451"/>
      <c r="J137" s="1451"/>
      <c r="K137" s="1451"/>
      <c r="L137" s="1451"/>
    </row>
    <row r="138" spans="1:12" ht="22.5" customHeight="1" x14ac:dyDescent="0.2">
      <c r="A138" s="1065"/>
      <c r="B138" s="1070" t="s">
        <v>474</v>
      </c>
      <c r="C138" s="1450" t="s">
        <v>475</v>
      </c>
      <c r="D138" s="1450"/>
      <c r="E138" s="1450"/>
      <c r="F138" s="1450"/>
      <c r="G138" s="1450"/>
      <c r="H138" s="1450"/>
      <c r="I138" s="1450"/>
      <c r="J138" s="1450"/>
      <c r="K138" s="1450"/>
      <c r="L138" s="1450"/>
    </row>
    <row r="139" spans="1:12" ht="32.25" customHeight="1" x14ac:dyDescent="0.2">
      <c r="A139" s="1065"/>
      <c r="B139" s="1070" t="s">
        <v>476</v>
      </c>
      <c r="C139" s="1450" t="s">
        <v>477</v>
      </c>
      <c r="D139" s="1450"/>
      <c r="E139" s="1450"/>
      <c r="F139" s="1450"/>
      <c r="G139" s="1450"/>
      <c r="H139" s="1450"/>
      <c r="I139" s="1450"/>
      <c r="J139" s="1450"/>
      <c r="K139" s="1450"/>
      <c r="L139" s="1450"/>
    </row>
    <row r="140" spans="1:12" x14ac:dyDescent="0.2">
      <c r="A140" s="1065"/>
      <c r="B140" s="1070"/>
      <c r="C140" s="1066"/>
      <c r="D140" s="1066"/>
      <c r="E140" s="1066"/>
      <c r="F140" s="1066"/>
      <c r="G140" s="1066"/>
      <c r="H140" s="1066"/>
      <c r="I140" s="1066"/>
      <c r="J140" s="1066"/>
      <c r="K140" s="1066"/>
      <c r="L140" s="1064"/>
    </row>
    <row r="141" spans="1:12" x14ac:dyDescent="0.2">
      <c r="A141" s="1065"/>
      <c r="B141" s="1067" t="s">
        <v>478</v>
      </c>
      <c r="C141" s="1066"/>
      <c r="D141" s="1066"/>
      <c r="E141" s="1066"/>
      <c r="F141" s="1066"/>
      <c r="G141" s="1066"/>
      <c r="H141" s="1066"/>
      <c r="I141" s="1066"/>
      <c r="J141" s="1066"/>
      <c r="K141" s="1066"/>
      <c r="L141" s="1064"/>
    </row>
    <row r="142" spans="1:12" ht="32.25" customHeight="1" x14ac:dyDescent="0.2">
      <c r="A142" s="1065"/>
      <c r="B142" s="1070" t="s">
        <v>467</v>
      </c>
      <c r="C142" s="1450" t="s">
        <v>479</v>
      </c>
      <c r="D142" s="1450"/>
      <c r="E142" s="1450"/>
      <c r="F142" s="1450"/>
      <c r="G142" s="1450"/>
      <c r="H142" s="1450"/>
      <c r="I142" s="1450"/>
      <c r="J142" s="1450"/>
      <c r="K142" s="1450"/>
      <c r="L142" s="1450"/>
    </row>
    <row r="143" spans="1:12" ht="22.5" customHeight="1" x14ac:dyDescent="0.2">
      <c r="A143" s="1065"/>
      <c r="B143" s="1070" t="s">
        <v>469</v>
      </c>
      <c r="C143" s="1450" t="s">
        <v>480</v>
      </c>
      <c r="D143" s="1450"/>
      <c r="E143" s="1450"/>
      <c r="F143" s="1450"/>
      <c r="G143" s="1450"/>
      <c r="H143" s="1450"/>
      <c r="I143" s="1450"/>
      <c r="J143" s="1450"/>
      <c r="K143" s="1450"/>
      <c r="L143" s="1450"/>
    </row>
    <row r="144" spans="1:12" x14ac:dyDescent="0.2">
      <c r="A144" s="1071"/>
      <c r="B144" s="1072"/>
      <c r="C144" s="1073"/>
      <c r="D144" s="1073"/>
      <c r="E144" s="1073"/>
      <c r="F144" s="1073"/>
      <c r="G144" s="1073"/>
      <c r="H144" s="1073"/>
      <c r="I144" s="1073"/>
      <c r="J144" s="1073"/>
      <c r="K144" s="1073"/>
      <c r="L144" s="1074"/>
    </row>
  </sheetData>
  <mergeCells count="64">
    <mergeCell ref="A1:L1"/>
    <mergeCell ref="A2:L2"/>
    <mergeCell ref="A3:L3"/>
    <mergeCell ref="A4:L4"/>
    <mergeCell ref="A5:K5"/>
    <mergeCell ref="A6:K6"/>
    <mergeCell ref="L6:L7"/>
    <mergeCell ref="A9:L9"/>
    <mergeCell ref="A11:D11"/>
    <mergeCell ref="A14:L15"/>
    <mergeCell ref="E17:J17"/>
    <mergeCell ref="D20:E20"/>
    <mergeCell ref="F20:G20"/>
    <mergeCell ref="H20:I20"/>
    <mergeCell ref="J20:K20"/>
    <mergeCell ref="D21:E21"/>
    <mergeCell ref="J21:J23"/>
    <mergeCell ref="K21:K23"/>
    <mergeCell ref="D22:E22"/>
    <mergeCell ref="D23:E23"/>
    <mergeCell ref="K25:K26"/>
    <mergeCell ref="L25:L26"/>
    <mergeCell ref="L33:L34"/>
    <mergeCell ref="D36:F36"/>
    <mergeCell ref="D37:F37"/>
    <mergeCell ref="A25:F26"/>
    <mergeCell ref="G25:G26"/>
    <mergeCell ref="H25:H26"/>
    <mergeCell ref="I25:I26"/>
    <mergeCell ref="J25:J26"/>
    <mergeCell ref="D38:F38"/>
    <mergeCell ref="D41:F41"/>
    <mergeCell ref="D42:F42"/>
    <mergeCell ref="D45:F45"/>
    <mergeCell ref="D47:F47"/>
    <mergeCell ref="D49:F49"/>
    <mergeCell ref="D53:F53"/>
    <mergeCell ref="D54:F54"/>
    <mergeCell ref="D55:F55"/>
    <mergeCell ref="D57:F57"/>
    <mergeCell ref="D61:F61"/>
    <mergeCell ref="D62:F62"/>
    <mergeCell ref="D63:F63"/>
    <mergeCell ref="D65:F65"/>
    <mergeCell ref="D66:F66"/>
    <mergeCell ref="D67:F67"/>
    <mergeCell ref="D69:F69"/>
    <mergeCell ref="A73:D74"/>
    <mergeCell ref="F73:H73"/>
    <mergeCell ref="I73:K73"/>
    <mergeCell ref="L73:L74"/>
    <mergeCell ref="D84:E84"/>
    <mergeCell ref="A118:K118"/>
    <mergeCell ref="A119:J119"/>
    <mergeCell ref="A120:K120"/>
    <mergeCell ref="C138:L138"/>
    <mergeCell ref="C139:L139"/>
    <mergeCell ref="C142:L142"/>
    <mergeCell ref="C143:L143"/>
    <mergeCell ref="B131:L131"/>
    <mergeCell ref="C134:L134"/>
    <mergeCell ref="C135:L135"/>
    <mergeCell ref="C136:L136"/>
    <mergeCell ref="C137:L137"/>
  </mergeCells>
  <dataValidations count="1">
    <dataValidation allowBlank="1" showInputMessage="1" showErrorMessage="1" prompt="Clique duas vezes sobre o número do item para ser direcionado à Planilha Orçamentária." sqref="D17" xr:uid="{00000000-0002-0000-0700-000000000000}">
      <formula1>0</formula1>
      <formula2>0</formula2>
    </dataValidation>
  </dataValidations>
  <printOptions horizontalCentered="1" verticalCentered="1"/>
  <pageMargins left="0.51180555555555496" right="0.51180555555555496" top="0.78749999999999998" bottom="0.78749999999999998" header="0.51180555555555496" footer="0.51180555555555496"/>
  <pageSetup paperSize="9" scale="75"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92"/>
  <sheetViews>
    <sheetView topLeftCell="A61" zoomScale="83" zoomScaleNormal="83" workbookViewId="0">
      <selection activeCell="P139" sqref="P139"/>
    </sheetView>
  </sheetViews>
  <sheetFormatPr defaultRowHeight="15" x14ac:dyDescent="0.2"/>
  <cols>
    <col min="1" max="1" width="7.6640625" style="902" customWidth="1"/>
    <col min="2" max="2" width="7.53125" style="902" customWidth="1"/>
    <col min="3" max="3" width="2.82421875" style="902" customWidth="1"/>
    <col min="4" max="4" width="3.765625" style="902" customWidth="1"/>
    <col min="5" max="5" width="23.67578125" style="902" customWidth="1"/>
    <col min="6" max="6" width="12.64453125" style="902" customWidth="1"/>
    <col min="7" max="7" width="8.7421875" style="902" customWidth="1"/>
    <col min="8" max="8" width="10.89453125" style="902" customWidth="1"/>
    <col min="9" max="11" width="8.7421875" style="902" customWidth="1"/>
    <col min="12" max="12" width="10.76171875" style="902" customWidth="1"/>
    <col min="13" max="1025" width="8.7421875" customWidth="1"/>
  </cols>
  <sheetData>
    <row r="1" spans="1:12" x14ac:dyDescent="0.2">
      <c r="A1" s="1474"/>
      <c r="B1" s="1474"/>
      <c r="C1" s="1474"/>
      <c r="D1" s="1474"/>
      <c r="E1" s="1474"/>
      <c r="F1" s="1474"/>
      <c r="G1" s="1474"/>
      <c r="H1" s="1474"/>
      <c r="I1" s="1474"/>
      <c r="J1" s="1474"/>
      <c r="K1" s="1474"/>
      <c r="L1" s="1474"/>
    </row>
    <row r="2" spans="1:12" x14ac:dyDescent="0.2">
      <c r="A2" s="1475" t="s">
        <v>629</v>
      </c>
      <c r="B2" s="1475"/>
      <c r="C2" s="1475"/>
      <c r="D2" s="1475"/>
      <c r="E2" s="1475"/>
      <c r="F2" s="1475"/>
      <c r="G2" s="1475"/>
      <c r="H2" s="1475"/>
      <c r="I2" s="1475"/>
      <c r="J2" s="1475"/>
      <c r="K2" s="1475"/>
      <c r="L2" s="1475"/>
    </row>
    <row r="3" spans="1:12" x14ac:dyDescent="0.2">
      <c r="A3" s="1474"/>
      <c r="B3" s="1474"/>
      <c r="C3" s="1474"/>
      <c r="D3" s="1474"/>
      <c r="E3" s="1474"/>
      <c r="F3" s="1474"/>
      <c r="G3" s="1474"/>
      <c r="H3" s="1474"/>
      <c r="I3" s="1474"/>
      <c r="J3" s="1474"/>
      <c r="K3" s="1474"/>
      <c r="L3" s="1474"/>
    </row>
    <row r="4" spans="1:12" x14ac:dyDescent="0.2">
      <c r="A4" s="1476"/>
      <c r="B4" s="1476"/>
      <c r="C4" s="1476"/>
      <c r="D4" s="1476"/>
      <c r="E4" s="1476"/>
      <c r="F4" s="1476"/>
      <c r="G4" s="1476"/>
      <c r="H4" s="1476"/>
      <c r="I4" s="1476"/>
      <c r="J4" s="1476"/>
      <c r="K4" s="1476"/>
      <c r="L4" s="1476"/>
    </row>
    <row r="5" spans="1:12" x14ac:dyDescent="0.2">
      <c r="A5" s="1477"/>
      <c r="B5" s="1477"/>
      <c r="C5" s="1477"/>
      <c r="D5" s="1477"/>
      <c r="E5" s="1477"/>
      <c r="F5" s="1477"/>
      <c r="G5" s="1477"/>
      <c r="H5" s="1477"/>
      <c r="I5" s="1477"/>
      <c r="J5" s="1477"/>
      <c r="K5" s="1477"/>
      <c r="L5" s="903" t="s">
        <v>419</v>
      </c>
    </row>
    <row r="6" spans="1:12" x14ac:dyDescent="0.2">
      <c r="A6" s="1469"/>
      <c r="B6" s="1469"/>
      <c r="C6" s="1469"/>
      <c r="D6" s="1469"/>
      <c r="E6" s="1469"/>
      <c r="F6" s="1469"/>
      <c r="G6" s="1469"/>
      <c r="H6" s="1469"/>
      <c r="I6" s="1469"/>
      <c r="J6" s="1469"/>
      <c r="K6" s="1469"/>
      <c r="L6" s="1075"/>
    </row>
    <row r="7" spans="1:12" ht="13.9" customHeight="1" x14ac:dyDescent="0.2">
      <c r="A7" s="1469"/>
      <c r="B7" s="1469"/>
      <c r="C7" s="1469"/>
      <c r="D7" s="1469"/>
      <c r="E7" s="1469"/>
      <c r="F7" s="1469"/>
      <c r="G7" s="1469"/>
      <c r="H7" s="1469"/>
      <c r="I7" s="1469"/>
      <c r="J7" s="1469"/>
      <c r="K7" s="1469"/>
      <c r="L7" s="1470" t="s">
        <v>171</v>
      </c>
    </row>
    <row r="8" spans="1:12" x14ac:dyDescent="0.2">
      <c r="A8" s="904"/>
      <c r="B8" s="905"/>
      <c r="C8" s="906"/>
      <c r="D8" s="907"/>
      <c r="E8" s="908"/>
      <c r="F8" s="906"/>
      <c r="G8" s="906"/>
      <c r="H8" s="906"/>
      <c r="I8" s="906"/>
      <c r="J8" s="906"/>
      <c r="K8" s="909"/>
      <c r="L8" s="1470"/>
    </row>
    <row r="9" spans="1:12" x14ac:dyDescent="0.2">
      <c r="A9" s="910"/>
      <c r="B9" s="910"/>
      <c r="C9" s="911"/>
      <c r="D9" s="912"/>
      <c r="E9" s="912"/>
      <c r="F9" s="913"/>
      <c r="G9" s="913"/>
      <c r="H9" s="913"/>
      <c r="I9" s="913"/>
      <c r="J9" s="913"/>
      <c r="K9" s="913"/>
      <c r="L9" s="914"/>
    </row>
    <row r="10" spans="1:12" x14ac:dyDescent="0.2">
      <c r="A10" s="1471"/>
      <c r="B10" s="1471"/>
      <c r="C10" s="1471"/>
      <c r="D10" s="1471"/>
      <c r="E10" s="1471"/>
      <c r="F10" s="1471"/>
      <c r="G10" s="1471"/>
      <c r="H10" s="1471"/>
      <c r="I10" s="1471"/>
      <c r="J10" s="1471"/>
      <c r="K10" s="1471"/>
      <c r="L10" s="1471"/>
    </row>
    <row r="11" spans="1:12" x14ac:dyDescent="0.2">
      <c r="A11" s="915"/>
      <c r="B11" s="912"/>
      <c r="C11" s="911"/>
      <c r="D11" s="912"/>
      <c r="E11" s="911"/>
      <c r="F11" s="911"/>
      <c r="G11" s="911"/>
      <c r="H11" s="911"/>
      <c r="I11" s="911"/>
      <c r="J11" s="911"/>
      <c r="K11" s="911"/>
      <c r="L11" s="916"/>
    </row>
    <row r="12" spans="1:12" x14ac:dyDescent="0.2">
      <c r="A12" s="1472" t="s">
        <v>421</v>
      </c>
      <c r="B12" s="1472"/>
      <c r="C12" s="1472"/>
      <c r="D12" s="1472"/>
      <c r="E12" s="917" t="s">
        <v>648</v>
      </c>
      <c r="F12" s="918"/>
      <c r="G12" s="918"/>
      <c r="H12" s="918"/>
      <c r="I12" s="918"/>
      <c r="J12" s="918"/>
      <c r="K12" s="918"/>
      <c r="L12" s="919"/>
    </row>
    <row r="13" spans="1:12" x14ac:dyDescent="0.2">
      <c r="A13" s="920"/>
      <c r="B13" s="907"/>
      <c r="C13" s="921"/>
      <c r="D13" s="907"/>
      <c r="E13" s="907"/>
      <c r="F13" s="906"/>
      <c r="G13" s="906"/>
      <c r="H13" s="906"/>
      <c r="I13" s="906"/>
      <c r="J13" s="906"/>
      <c r="K13" s="906"/>
      <c r="L13" s="922"/>
    </row>
    <row r="14" spans="1:12" x14ac:dyDescent="0.2">
      <c r="A14" s="913"/>
      <c r="B14" s="913"/>
      <c r="C14" s="913"/>
      <c r="D14" s="913"/>
      <c r="E14" s="913"/>
      <c r="F14" s="913"/>
      <c r="G14" s="913"/>
      <c r="H14" s="913"/>
      <c r="I14" s="913"/>
      <c r="J14" s="913"/>
      <c r="K14" s="913"/>
      <c r="L14" s="914"/>
    </row>
    <row r="15" spans="1:12" x14ac:dyDescent="0.2">
      <c r="A15" s="1473" t="s">
        <v>422</v>
      </c>
      <c r="B15" s="1473"/>
      <c r="C15" s="1473"/>
      <c r="D15" s="1473"/>
      <c r="E15" s="1473"/>
      <c r="F15" s="1473"/>
      <c r="G15" s="1473"/>
      <c r="H15" s="1473"/>
      <c r="I15" s="1473"/>
      <c r="J15" s="1473"/>
      <c r="K15" s="1473"/>
      <c r="L15" s="1473"/>
    </row>
    <row r="16" spans="1:12" x14ac:dyDescent="0.2">
      <c r="A16" s="1473"/>
      <c r="B16" s="1473"/>
      <c r="C16" s="1473"/>
      <c r="D16" s="1473"/>
      <c r="E16" s="1473"/>
      <c r="F16" s="1473"/>
      <c r="G16" s="1473"/>
      <c r="H16" s="1473"/>
      <c r="I16" s="1473"/>
      <c r="J16" s="1473"/>
      <c r="K16" s="1473"/>
      <c r="L16" s="1473"/>
    </row>
    <row r="17" spans="1:12" x14ac:dyDescent="0.2">
      <c r="A17" s="923"/>
      <c r="B17" s="923"/>
      <c r="C17" s="923"/>
      <c r="D17" s="923"/>
      <c r="E17" s="923"/>
      <c r="F17" s="923"/>
      <c r="G17" s="923"/>
      <c r="H17" s="923"/>
      <c r="I17" s="923"/>
      <c r="J17" s="923"/>
      <c r="K17" s="923"/>
      <c r="L17" s="923"/>
    </row>
    <row r="18" spans="1:12" x14ac:dyDescent="0.2">
      <c r="A18" s="924" t="s">
        <v>423</v>
      </c>
      <c r="B18" s="925"/>
      <c r="C18" s="925"/>
      <c r="D18" s="926" t="s">
        <v>171</v>
      </c>
      <c r="E18" s="1498" t="s">
        <v>481</v>
      </c>
      <c r="F18" s="1498"/>
      <c r="G18" s="1498"/>
      <c r="H18" s="1498"/>
      <c r="I18" s="1498"/>
      <c r="J18" s="1498"/>
      <c r="K18" s="928" t="s">
        <v>425</v>
      </c>
      <c r="L18" s="927" t="s">
        <v>482</v>
      </c>
    </row>
    <row r="19" spans="1:12" x14ac:dyDescent="0.2">
      <c r="A19" s="910"/>
      <c r="B19" s="910"/>
      <c r="C19" s="910"/>
      <c r="D19" s="910"/>
      <c r="E19" s="910"/>
      <c r="F19" s="910"/>
      <c r="G19" s="910"/>
      <c r="H19" s="910"/>
      <c r="I19" s="910"/>
      <c r="J19" s="910"/>
      <c r="K19" s="910"/>
      <c r="L19" s="910"/>
    </row>
    <row r="20" spans="1:12" x14ac:dyDescent="0.2">
      <c r="A20" s="1499" t="s">
        <v>434</v>
      </c>
      <c r="B20" s="1499"/>
      <c r="C20" s="1499"/>
      <c r="D20" s="1499"/>
      <c r="E20" s="1499"/>
      <c r="F20" s="1499"/>
      <c r="G20" s="1460" t="s">
        <v>166</v>
      </c>
      <c r="H20" s="1460" t="s">
        <v>362</v>
      </c>
      <c r="I20" s="1460"/>
      <c r="J20" s="1500" t="s">
        <v>483</v>
      </c>
      <c r="K20" s="1500"/>
      <c r="L20" s="1076" t="s">
        <v>484</v>
      </c>
    </row>
    <row r="21" spans="1:12" x14ac:dyDescent="0.2">
      <c r="A21" s="1499"/>
      <c r="B21" s="1499"/>
      <c r="C21" s="1499"/>
      <c r="D21" s="1499"/>
      <c r="E21" s="1499"/>
      <c r="F21" s="1499"/>
      <c r="G21" s="1460"/>
      <c r="H21" s="943" t="s">
        <v>485</v>
      </c>
      <c r="I21" s="1077" t="s">
        <v>486</v>
      </c>
      <c r="J21" s="943" t="s">
        <v>485</v>
      </c>
      <c r="K21" s="1077" t="s">
        <v>486</v>
      </c>
      <c r="L21" s="1026" t="s">
        <v>487</v>
      </c>
    </row>
    <row r="22" spans="1:12" x14ac:dyDescent="0.2">
      <c r="A22" s="1078" t="s">
        <v>379</v>
      </c>
      <c r="B22" s="1079" t="s">
        <v>721</v>
      </c>
      <c r="C22" s="947" t="s">
        <v>442</v>
      </c>
      <c r="D22" s="1501" t="s">
        <v>722</v>
      </c>
      <c r="E22" s="1501"/>
      <c r="F22" s="1501"/>
      <c r="G22" s="1080">
        <v>1</v>
      </c>
      <c r="H22" s="1020">
        <v>2.4500000000000001E-2</v>
      </c>
      <c r="I22" s="1020"/>
      <c r="J22" s="1081">
        <v>31.338899999999999</v>
      </c>
      <c r="K22" s="1081">
        <v>21.960799999999999</v>
      </c>
      <c r="L22" s="986">
        <f>ROUND((G22*H22*J22)+(G22*I22*K22),4)</f>
        <v>0.76780000000000004</v>
      </c>
    </row>
    <row r="23" spans="1:12" x14ac:dyDescent="0.2">
      <c r="A23" s="1082"/>
      <c r="B23" s="1083"/>
      <c r="C23" s="1077"/>
      <c r="D23" s="1083"/>
      <c r="E23" s="1083"/>
      <c r="F23" s="1084"/>
      <c r="G23" s="1085"/>
      <c r="H23" s="1020"/>
      <c r="I23" s="1020"/>
      <c r="J23" s="1086"/>
      <c r="K23" s="1087"/>
      <c r="L23" s="986">
        <f>ROUND((G23*H23*J23)+(G23*I23*K23),4)</f>
        <v>0</v>
      </c>
    </row>
    <row r="24" spans="1:12" x14ac:dyDescent="0.2">
      <c r="A24" s="1497" t="s">
        <v>488</v>
      </c>
      <c r="B24" s="1497"/>
      <c r="C24" s="1497"/>
      <c r="D24" s="1497"/>
      <c r="E24" s="1497"/>
      <c r="F24" s="1497"/>
      <c r="G24" s="1497"/>
      <c r="H24" s="1497"/>
      <c r="I24" s="1497"/>
      <c r="J24" s="1497"/>
      <c r="K24" s="1497"/>
      <c r="L24" s="1088">
        <f>ROUND(SUM(L22:L23),4)</f>
        <v>0.76780000000000004</v>
      </c>
    </row>
    <row r="25" spans="1:12" x14ac:dyDescent="0.2">
      <c r="A25" s="930"/>
      <c r="B25" s="930"/>
      <c r="C25" s="930"/>
      <c r="D25" s="930"/>
      <c r="E25" s="930"/>
      <c r="F25" s="930"/>
      <c r="G25" s="930"/>
      <c r="H25" s="1023"/>
      <c r="I25" s="1023"/>
      <c r="J25" s="1023"/>
      <c r="K25" s="1023"/>
      <c r="L25" s="1023"/>
    </row>
    <row r="26" spans="1:12" ht="13.9" customHeight="1" x14ac:dyDescent="0.2">
      <c r="A26" s="1462" t="s">
        <v>447</v>
      </c>
      <c r="B26" s="1462"/>
      <c r="C26" s="1462"/>
      <c r="D26" s="1462"/>
      <c r="E26" s="1462"/>
      <c r="F26" s="1462"/>
      <c r="G26" s="1462"/>
      <c r="H26" s="1462"/>
      <c r="I26" s="1462"/>
      <c r="J26" s="1460" t="s">
        <v>166</v>
      </c>
      <c r="K26" s="1452" t="s">
        <v>489</v>
      </c>
      <c r="L26" s="1076" t="s">
        <v>449</v>
      </c>
    </row>
    <row r="27" spans="1:12" x14ac:dyDescent="0.2">
      <c r="A27" s="1462"/>
      <c r="B27" s="1462"/>
      <c r="C27" s="1462"/>
      <c r="D27" s="1462"/>
      <c r="E27" s="1462"/>
      <c r="F27" s="1462"/>
      <c r="G27" s="1462"/>
      <c r="H27" s="1462"/>
      <c r="I27" s="1462"/>
      <c r="J27" s="1460"/>
      <c r="K27" s="1452"/>
      <c r="L27" s="1026" t="s">
        <v>487</v>
      </c>
    </row>
    <row r="28" spans="1:12" x14ac:dyDescent="0.2">
      <c r="A28" s="1078" t="s">
        <v>379</v>
      </c>
      <c r="B28" s="946" t="s">
        <v>705</v>
      </c>
      <c r="C28" s="947" t="s">
        <v>442</v>
      </c>
      <c r="D28" s="948" t="s">
        <v>706</v>
      </c>
      <c r="E28" s="1049"/>
      <c r="F28" s="1049"/>
      <c r="G28" s="932"/>
      <c r="H28" s="1050"/>
      <c r="I28" s="1089"/>
      <c r="J28" s="1090">
        <v>6.7</v>
      </c>
      <c r="K28" s="1091">
        <v>20.165199999999999</v>
      </c>
      <c r="L28" s="954">
        <f>ROUND(J28*K28,4)</f>
        <v>135.10679999999999</v>
      </c>
    </row>
    <row r="29" spans="1:12" x14ac:dyDescent="0.2">
      <c r="A29" s="1043" t="s">
        <v>379</v>
      </c>
      <c r="B29" s="958" t="s">
        <v>707</v>
      </c>
      <c r="C29" s="957" t="s">
        <v>442</v>
      </c>
      <c r="D29" s="980" t="s">
        <v>708</v>
      </c>
      <c r="E29" s="942"/>
      <c r="F29" s="942"/>
      <c r="G29" s="910"/>
      <c r="H29" s="979"/>
      <c r="I29" s="1092"/>
      <c r="J29" s="1080">
        <v>0.4</v>
      </c>
      <c r="K29" s="1044">
        <v>19.5016</v>
      </c>
      <c r="L29" s="964">
        <f>ROUND(J29*K29,4)</f>
        <v>7.8006000000000002</v>
      </c>
    </row>
    <row r="30" spans="1:12" x14ac:dyDescent="0.2">
      <c r="A30" s="1043" t="s">
        <v>379</v>
      </c>
      <c r="B30" s="958" t="s">
        <v>713</v>
      </c>
      <c r="C30" s="957" t="s">
        <v>442</v>
      </c>
      <c r="D30" s="980" t="s">
        <v>714</v>
      </c>
      <c r="E30" s="942"/>
      <c r="F30" s="942"/>
      <c r="G30" s="910"/>
      <c r="H30" s="979"/>
      <c r="I30" s="1092"/>
      <c r="J30" s="1080">
        <v>7.92</v>
      </c>
      <c r="K30" s="1044">
        <v>15.3812</v>
      </c>
      <c r="L30" s="964">
        <f>ROUND(J30*K30,4)</f>
        <v>121.81910000000001</v>
      </c>
    </row>
    <row r="31" spans="1:12" x14ac:dyDescent="0.2">
      <c r="A31" s="1093"/>
      <c r="B31" s="1094"/>
      <c r="C31" s="1083"/>
      <c r="D31" s="1083"/>
      <c r="E31" s="1083"/>
      <c r="F31" s="1083"/>
      <c r="G31" s="905"/>
      <c r="H31" s="1077"/>
      <c r="I31" s="1095"/>
      <c r="J31" s="1096"/>
      <c r="K31" s="1097"/>
      <c r="L31" s="1098">
        <f>ROUND(J31*K31,4)</f>
        <v>0</v>
      </c>
    </row>
    <row r="32" spans="1:12" x14ac:dyDescent="0.2">
      <c r="A32" s="1497" t="s">
        <v>490</v>
      </c>
      <c r="B32" s="1497"/>
      <c r="C32" s="1497"/>
      <c r="D32" s="1497"/>
      <c r="E32" s="1497"/>
      <c r="F32" s="1497"/>
      <c r="G32" s="1497"/>
      <c r="H32" s="1497"/>
      <c r="I32" s="1497"/>
      <c r="J32" s="1497"/>
      <c r="K32" s="1497"/>
      <c r="L32" s="1088">
        <f>ROUND(SUM(L28:L31),4)</f>
        <v>264.72649999999999</v>
      </c>
    </row>
    <row r="33" spans="1:12" x14ac:dyDescent="0.2">
      <c r="A33" s="930"/>
      <c r="B33" s="930"/>
      <c r="C33" s="930"/>
      <c r="D33" s="930"/>
      <c r="E33" s="930"/>
      <c r="F33" s="930"/>
      <c r="G33" s="930"/>
      <c r="H33" s="930"/>
      <c r="I33" s="930"/>
      <c r="J33" s="1023"/>
      <c r="K33" s="1023"/>
      <c r="L33" s="1099"/>
    </row>
    <row r="34" spans="1:12" x14ac:dyDescent="0.2">
      <c r="A34" s="930"/>
      <c r="B34" s="930"/>
      <c r="C34" s="930"/>
      <c r="D34" s="930"/>
      <c r="E34" s="930"/>
      <c r="F34" s="930"/>
      <c r="G34" s="930"/>
      <c r="H34" s="930"/>
      <c r="I34" s="930"/>
      <c r="J34" s="1023"/>
      <c r="K34" s="1100" t="s">
        <v>491</v>
      </c>
      <c r="L34" s="1101">
        <f>L24+L32</f>
        <v>265.49430000000001</v>
      </c>
    </row>
    <row r="35" spans="1:12" x14ac:dyDescent="0.2">
      <c r="A35" s="1102" t="s">
        <v>492</v>
      </c>
      <c r="B35" s="930"/>
      <c r="C35" s="930"/>
      <c r="D35" s="930"/>
      <c r="E35" s="930"/>
      <c r="F35" s="1103">
        <v>1</v>
      </c>
      <c r="G35" s="1104" t="str">
        <f>L18</f>
        <v>m²</v>
      </c>
      <c r="H35" s="1102"/>
      <c r="I35" s="930"/>
      <c r="J35" s="1105"/>
      <c r="K35" s="1106" t="s">
        <v>493</v>
      </c>
      <c r="L35" s="1035">
        <f>ROUND(L34/F35,4)</f>
        <v>265.49430000000001</v>
      </c>
    </row>
    <row r="36" spans="1:12" x14ac:dyDescent="0.2">
      <c r="A36" s="1102"/>
      <c r="B36" s="930" t="s">
        <v>494</v>
      </c>
      <c r="C36" s="930"/>
      <c r="D36" s="930"/>
      <c r="E36" s="930"/>
      <c r="F36" s="1103"/>
      <c r="G36" s="1104"/>
      <c r="H36" s="1102"/>
      <c r="I36" s="930"/>
      <c r="J36" s="1105"/>
      <c r="K36" s="1100" t="s">
        <v>495</v>
      </c>
      <c r="L36" s="1035">
        <f>ROUND(L35*F36,4)</f>
        <v>0</v>
      </c>
    </row>
    <row r="37" spans="1:12" x14ac:dyDescent="0.2">
      <c r="A37" s="1102"/>
      <c r="B37" s="930" t="s">
        <v>496</v>
      </c>
      <c r="C37" s="930"/>
      <c r="D37" s="930"/>
      <c r="E37" s="930"/>
      <c r="F37" s="1103"/>
      <c r="G37" s="1104"/>
      <c r="H37" s="1105"/>
      <c r="I37" s="1107"/>
      <c r="J37" s="1023"/>
      <c r="K37" s="1100" t="s">
        <v>497</v>
      </c>
      <c r="L37" s="1035">
        <f>ROUND(L35*F37,4)</f>
        <v>0</v>
      </c>
    </row>
    <row r="38" spans="1:12" x14ac:dyDescent="0.2">
      <c r="A38" s="930"/>
      <c r="B38" s="930"/>
      <c r="C38" s="930"/>
      <c r="D38" s="930"/>
      <c r="E38" s="930"/>
      <c r="F38" s="930"/>
      <c r="G38" s="930"/>
      <c r="H38" s="930"/>
      <c r="I38" s="930"/>
      <c r="J38" s="1023"/>
      <c r="K38" s="1023"/>
      <c r="L38" s="1099"/>
    </row>
    <row r="39" spans="1:12" x14ac:dyDescent="0.2">
      <c r="A39" s="1462" t="s">
        <v>498</v>
      </c>
      <c r="B39" s="1462"/>
      <c r="C39" s="1462"/>
      <c r="D39" s="1462"/>
      <c r="E39" s="1462"/>
      <c r="F39" s="1462"/>
      <c r="G39" s="1462"/>
      <c r="H39" s="1462"/>
      <c r="I39" s="1456" t="s">
        <v>499</v>
      </c>
      <c r="J39" s="1456"/>
      <c r="K39" s="1456"/>
      <c r="L39" s="1108">
        <f>ROUND(SUM(L35:L38),4)</f>
        <v>265.49430000000001</v>
      </c>
    </row>
    <row r="40" spans="1:12" x14ac:dyDescent="0.2">
      <c r="A40" s="910"/>
      <c r="B40" s="910"/>
      <c r="C40" s="910"/>
      <c r="D40" s="910"/>
      <c r="E40" s="910"/>
      <c r="F40" s="910"/>
      <c r="G40" s="1109"/>
      <c r="H40" s="1109"/>
      <c r="I40" s="933"/>
      <c r="J40" s="933"/>
      <c r="K40" s="933"/>
      <c r="L40" s="910"/>
    </row>
    <row r="41" spans="1:12" x14ac:dyDescent="0.2">
      <c r="A41" s="1462" t="s">
        <v>500</v>
      </c>
      <c r="B41" s="1462"/>
      <c r="C41" s="1462"/>
      <c r="D41" s="1462"/>
      <c r="E41" s="1462"/>
      <c r="F41" s="1462"/>
      <c r="G41" s="1462"/>
      <c r="H41" s="1460" t="s">
        <v>166</v>
      </c>
      <c r="I41" s="1460"/>
      <c r="J41" s="1460" t="s">
        <v>165</v>
      </c>
      <c r="K41" s="1076" t="s">
        <v>501</v>
      </c>
      <c r="L41" s="1076" t="s">
        <v>484</v>
      </c>
    </row>
    <row r="42" spans="1:12" x14ac:dyDescent="0.2">
      <c r="A42" s="1462"/>
      <c r="B42" s="1462"/>
      <c r="C42" s="1462"/>
      <c r="D42" s="1462"/>
      <c r="E42" s="1462"/>
      <c r="F42" s="1462"/>
      <c r="G42" s="1462"/>
      <c r="H42" s="1460"/>
      <c r="I42" s="1460"/>
      <c r="J42" s="1460"/>
      <c r="K42" s="1110" t="s">
        <v>451</v>
      </c>
      <c r="L42" s="1026" t="s">
        <v>451</v>
      </c>
    </row>
    <row r="43" spans="1:12" x14ac:dyDescent="0.2">
      <c r="A43" s="1043" t="s">
        <v>379</v>
      </c>
      <c r="B43" s="958" t="s">
        <v>723</v>
      </c>
      <c r="C43" s="979" t="s">
        <v>442</v>
      </c>
      <c r="D43" s="949" t="s">
        <v>724</v>
      </c>
      <c r="E43" s="949"/>
      <c r="F43" s="949"/>
      <c r="G43" s="1111"/>
      <c r="H43" s="1495">
        <v>6.3560000000000005E-2</v>
      </c>
      <c r="I43" s="1495"/>
      <c r="J43" s="1113" t="s">
        <v>581</v>
      </c>
      <c r="K43" s="1044">
        <v>87.719700000000003</v>
      </c>
      <c r="L43" s="986">
        <f t="shared" ref="L43:L54" si="0">ROUND(K43*H43,4)</f>
        <v>5.5754999999999999</v>
      </c>
    </row>
    <row r="44" spans="1:12" x14ac:dyDescent="0.2">
      <c r="A44" s="1043" t="s">
        <v>379</v>
      </c>
      <c r="B44" s="966" t="s">
        <v>725</v>
      </c>
      <c r="C44" s="942" t="s">
        <v>442</v>
      </c>
      <c r="D44" s="910" t="s">
        <v>726</v>
      </c>
      <c r="E44" s="942"/>
      <c r="F44" s="942"/>
      <c r="G44" s="937"/>
      <c r="H44" s="1495">
        <v>5.8520000000000003E-2</v>
      </c>
      <c r="I44" s="1495"/>
      <c r="J44" s="1113" t="s">
        <v>581</v>
      </c>
      <c r="K44" s="1044">
        <v>85.010400000000004</v>
      </c>
      <c r="L44" s="986">
        <f t="shared" si="0"/>
        <v>4.9748000000000001</v>
      </c>
    </row>
    <row r="45" spans="1:12" x14ac:dyDescent="0.2">
      <c r="A45" s="1043" t="s">
        <v>379</v>
      </c>
      <c r="B45" s="966" t="s">
        <v>727</v>
      </c>
      <c r="C45" s="942" t="s">
        <v>442</v>
      </c>
      <c r="D45" s="910" t="s">
        <v>728</v>
      </c>
      <c r="E45" s="942"/>
      <c r="F45" s="942"/>
      <c r="G45" s="910"/>
      <c r="H45" s="1495">
        <v>18.760000000000002</v>
      </c>
      <c r="I45" s="1495"/>
      <c r="J45" s="1113" t="s">
        <v>729</v>
      </c>
      <c r="K45" s="1044">
        <v>0.64500000000000002</v>
      </c>
      <c r="L45" s="986">
        <f t="shared" si="0"/>
        <v>12.100199999999999</v>
      </c>
    </row>
    <row r="46" spans="1:12" x14ac:dyDescent="0.2">
      <c r="A46" s="1043" t="s">
        <v>379</v>
      </c>
      <c r="B46" s="966" t="s">
        <v>730</v>
      </c>
      <c r="C46" s="942" t="s">
        <v>442</v>
      </c>
      <c r="D46" s="910" t="s">
        <v>731</v>
      </c>
      <c r="E46" s="942"/>
      <c r="F46" s="942"/>
      <c r="G46" s="910"/>
      <c r="H46" s="1495">
        <v>1.18</v>
      </c>
      <c r="I46" s="1495"/>
      <c r="J46" s="1113" t="s">
        <v>482</v>
      </c>
      <c r="K46" s="1044">
        <v>23.966899999999999</v>
      </c>
      <c r="L46" s="986">
        <f t="shared" si="0"/>
        <v>28.280899999999999</v>
      </c>
    </row>
    <row r="47" spans="1:12" x14ac:dyDescent="0.2">
      <c r="A47" s="1043" t="s">
        <v>732</v>
      </c>
      <c r="B47" s="966" t="s">
        <v>733</v>
      </c>
      <c r="C47" s="942" t="s">
        <v>442</v>
      </c>
      <c r="D47" s="910" t="s">
        <v>734</v>
      </c>
      <c r="E47" s="942"/>
      <c r="F47" s="942"/>
      <c r="G47" s="910"/>
      <c r="H47" s="1495">
        <v>0.2</v>
      </c>
      <c r="I47" s="1495"/>
      <c r="J47" s="1113" t="s">
        <v>729</v>
      </c>
      <c r="K47" s="1044">
        <v>18.02</v>
      </c>
      <c r="L47" s="986">
        <f t="shared" si="0"/>
        <v>3.6040000000000001</v>
      </c>
    </row>
    <row r="48" spans="1:12" x14ac:dyDescent="0.2">
      <c r="A48" s="1043" t="s">
        <v>732</v>
      </c>
      <c r="B48" s="966" t="s">
        <v>735</v>
      </c>
      <c r="C48" s="942" t="s">
        <v>442</v>
      </c>
      <c r="D48" s="910" t="s">
        <v>736</v>
      </c>
      <c r="E48" s="942"/>
      <c r="F48" s="942"/>
      <c r="G48" s="910"/>
      <c r="H48" s="1495">
        <v>0.8</v>
      </c>
      <c r="I48" s="1495"/>
      <c r="J48" s="1113" t="s">
        <v>729</v>
      </c>
      <c r="K48" s="1044">
        <v>16</v>
      </c>
      <c r="L48" s="986">
        <f t="shared" si="0"/>
        <v>12.8</v>
      </c>
    </row>
    <row r="49" spans="1:12" x14ac:dyDescent="0.2">
      <c r="A49" s="1043" t="s">
        <v>732</v>
      </c>
      <c r="B49" s="966" t="s">
        <v>737</v>
      </c>
      <c r="C49" s="942" t="s">
        <v>442</v>
      </c>
      <c r="D49" s="1479" t="s">
        <v>738</v>
      </c>
      <c r="E49" s="1479"/>
      <c r="F49" s="1479"/>
      <c r="G49" s="1479"/>
      <c r="H49" s="1495">
        <v>4.3899999999999997</v>
      </c>
      <c r="I49" s="1495"/>
      <c r="J49" s="1113" t="s">
        <v>135</v>
      </c>
      <c r="K49" s="1044">
        <v>8.07</v>
      </c>
      <c r="L49" s="986">
        <f t="shared" si="0"/>
        <v>35.427300000000002</v>
      </c>
    </row>
    <row r="50" spans="1:12" x14ac:dyDescent="0.2">
      <c r="A50" s="1043" t="s">
        <v>379</v>
      </c>
      <c r="B50" s="966" t="s">
        <v>739</v>
      </c>
      <c r="C50" s="942" t="s">
        <v>442</v>
      </c>
      <c r="D50" s="910" t="s">
        <v>740</v>
      </c>
      <c r="E50" s="942"/>
      <c r="F50" s="942"/>
      <c r="G50" s="910"/>
      <c r="H50" s="1495">
        <v>2.11</v>
      </c>
      <c r="I50" s="1495"/>
      <c r="J50" s="1113" t="s">
        <v>135</v>
      </c>
      <c r="K50" s="1044">
        <v>3.5998999999999999</v>
      </c>
      <c r="L50" s="986">
        <f t="shared" si="0"/>
        <v>7.5957999999999997</v>
      </c>
    </row>
    <row r="51" spans="1:12" x14ac:dyDescent="0.2">
      <c r="A51" s="1043" t="s">
        <v>732</v>
      </c>
      <c r="B51" s="966" t="s">
        <v>741</v>
      </c>
      <c r="C51" s="942" t="s">
        <v>442</v>
      </c>
      <c r="D51" s="1479" t="s">
        <v>742</v>
      </c>
      <c r="E51" s="1479"/>
      <c r="F51" s="1479"/>
      <c r="G51" s="1479"/>
      <c r="H51" s="1495">
        <v>1.37</v>
      </c>
      <c r="I51" s="1495"/>
      <c r="J51" s="1113" t="s">
        <v>135</v>
      </c>
      <c r="K51" s="1044">
        <v>22.65</v>
      </c>
      <c r="L51" s="986">
        <f t="shared" si="0"/>
        <v>31.0305</v>
      </c>
    </row>
    <row r="52" spans="1:12" x14ac:dyDescent="0.2">
      <c r="A52" s="1043" t="s">
        <v>732</v>
      </c>
      <c r="B52" s="966" t="s">
        <v>743</v>
      </c>
      <c r="C52" s="942" t="s">
        <v>442</v>
      </c>
      <c r="D52" s="910" t="s">
        <v>744</v>
      </c>
      <c r="E52" s="942"/>
      <c r="F52" s="942"/>
      <c r="G52" s="910"/>
      <c r="H52" s="1495">
        <v>1.19</v>
      </c>
      <c r="I52" s="1495"/>
      <c r="J52" s="1113" t="s">
        <v>482</v>
      </c>
      <c r="K52" s="1044">
        <v>21.6</v>
      </c>
      <c r="L52" s="986">
        <f t="shared" si="0"/>
        <v>25.704000000000001</v>
      </c>
    </row>
    <row r="53" spans="1:12" x14ac:dyDescent="0.2">
      <c r="A53" s="1043" t="s">
        <v>732</v>
      </c>
      <c r="B53" s="966" t="s">
        <v>745</v>
      </c>
      <c r="C53" s="942" t="s">
        <v>442</v>
      </c>
      <c r="D53" s="1479" t="s">
        <v>746</v>
      </c>
      <c r="E53" s="1479"/>
      <c r="F53" s="1479"/>
      <c r="G53" s="1479"/>
      <c r="H53" s="1495">
        <v>0.25</v>
      </c>
      <c r="I53" s="1495"/>
      <c r="J53" s="1113" t="s">
        <v>206</v>
      </c>
      <c r="K53" s="1044">
        <v>10.78</v>
      </c>
      <c r="L53" s="986">
        <f t="shared" si="0"/>
        <v>2.6949999999999998</v>
      </c>
    </row>
    <row r="54" spans="1:12" x14ac:dyDescent="0.2">
      <c r="A54" s="1114"/>
      <c r="B54" s="979"/>
      <c r="C54" s="979"/>
      <c r="D54" s="1083"/>
      <c r="E54" s="1083"/>
      <c r="F54" s="1083"/>
      <c r="G54" s="1115"/>
      <c r="H54" s="1496"/>
      <c r="I54" s="1496"/>
      <c r="J54" s="1116"/>
      <c r="K54" s="1044"/>
      <c r="L54" s="986">
        <f t="shared" si="0"/>
        <v>0</v>
      </c>
    </row>
    <row r="55" spans="1:12" x14ac:dyDescent="0.2">
      <c r="A55" s="1454" t="s">
        <v>502</v>
      </c>
      <c r="B55" s="1454"/>
      <c r="C55" s="1454"/>
      <c r="D55" s="1454"/>
      <c r="E55" s="1454"/>
      <c r="F55" s="1454"/>
      <c r="G55" s="1454"/>
      <c r="H55" s="1454"/>
      <c r="I55" s="1454"/>
      <c r="J55" s="1454"/>
      <c r="K55" s="1454"/>
      <c r="L55" s="1108">
        <f>ROUND(SUM(L43:L54),4)</f>
        <v>169.78800000000001</v>
      </c>
    </row>
    <row r="56" spans="1:12" x14ac:dyDescent="0.2">
      <c r="A56" s="932"/>
      <c r="B56" s="932"/>
      <c r="C56" s="932"/>
      <c r="D56" s="932"/>
      <c r="E56" s="932"/>
      <c r="F56" s="932"/>
      <c r="G56" s="932"/>
      <c r="H56" s="932"/>
      <c r="I56" s="932"/>
      <c r="J56" s="910"/>
      <c r="K56" s="1117"/>
      <c r="L56" s="1118"/>
    </row>
    <row r="57" spans="1:12" ht="13.9" customHeight="1" x14ac:dyDescent="0.2">
      <c r="A57" s="1462" t="s">
        <v>503</v>
      </c>
      <c r="B57" s="1462"/>
      <c r="C57" s="1462"/>
      <c r="D57" s="1462"/>
      <c r="E57" s="1462"/>
      <c r="F57" s="1462"/>
      <c r="G57" s="1452" t="s">
        <v>504</v>
      </c>
      <c r="H57" s="1460" t="s">
        <v>505</v>
      </c>
      <c r="I57" s="1460"/>
      <c r="J57" s="1460"/>
      <c r="K57" s="1460"/>
      <c r="L57" s="1460" t="s">
        <v>506</v>
      </c>
    </row>
    <row r="58" spans="1:12" x14ac:dyDescent="0.2">
      <c r="A58" s="1462"/>
      <c r="B58" s="1462"/>
      <c r="C58" s="1462"/>
      <c r="D58" s="1462"/>
      <c r="E58" s="1462"/>
      <c r="F58" s="1462"/>
      <c r="G58" s="1452"/>
      <c r="H58" s="944" t="s">
        <v>112</v>
      </c>
      <c r="I58" s="1095" t="s">
        <v>380</v>
      </c>
      <c r="J58" s="1026" t="s">
        <v>383</v>
      </c>
      <c r="K58" s="1110" t="s">
        <v>385</v>
      </c>
      <c r="L58" s="1460"/>
    </row>
    <row r="59" spans="1:12" x14ac:dyDescent="0.2">
      <c r="A59" s="1462"/>
      <c r="B59" s="1462"/>
      <c r="C59" s="1462"/>
      <c r="D59" s="1462"/>
      <c r="E59" s="1462"/>
      <c r="F59" s="1462"/>
      <c r="G59" s="1452"/>
      <c r="H59" s="943" t="s">
        <v>507</v>
      </c>
      <c r="I59" s="1119"/>
      <c r="J59" s="1119"/>
      <c r="K59" s="1119"/>
      <c r="L59" s="1460"/>
    </row>
    <row r="60" spans="1:12" x14ac:dyDescent="0.2">
      <c r="A60" s="1488" t="str">
        <f>A43</f>
        <v>DNIT –</v>
      </c>
      <c r="B60" s="1489" t="str">
        <f>B43</f>
        <v>M0082</v>
      </c>
      <c r="C60" s="1490" t="s">
        <v>442</v>
      </c>
      <c r="D60" s="1491" t="str">
        <f>D43</f>
        <v>Areia média lavada</v>
      </c>
      <c r="E60" s="1491"/>
      <c r="F60" s="1492" t="s">
        <v>391</v>
      </c>
      <c r="G60" s="1493">
        <f>ROUND(H43*1500/1000,5)</f>
        <v>9.5339999999999994E-2</v>
      </c>
      <c r="H60" s="1120" t="s">
        <v>508</v>
      </c>
      <c r="I60" s="1121">
        <v>5914359</v>
      </c>
      <c r="J60" s="1121">
        <v>5914374</v>
      </c>
      <c r="K60" s="1121">
        <v>5914389</v>
      </c>
      <c r="L60" s="1494">
        <f>ROUND(G60*($I$59*I61+$J$59*J61+$K$59*K61),4)</f>
        <v>0</v>
      </c>
    </row>
    <row r="61" spans="1:12" x14ac:dyDescent="0.2">
      <c r="A61" s="1488"/>
      <c r="B61" s="1489"/>
      <c r="C61" s="1490"/>
      <c r="D61" s="1491"/>
      <c r="E61" s="1491"/>
      <c r="F61" s="1492"/>
      <c r="G61" s="1493"/>
      <c r="H61" s="1122" t="s">
        <v>509</v>
      </c>
      <c r="I61" s="1123">
        <v>0.81</v>
      </c>
      <c r="J61" s="1123">
        <v>0.65</v>
      </c>
      <c r="K61" s="1123">
        <v>0.51</v>
      </c>
      <c r="L61" s="1494"/>
    </row>
    <row r="62" spans="1:12" x14ac:dyDescent="0.2">
      <c r="A62" s="1480" t="str">
        <f>A44</f>
        <v>DNIT –</v>
      </c>
      <c r="B62" s="1481" t="str">
        <f>B44</f>
        <v>M0191</v>
      </c>
      <c r="C62" s="1482" t="s">
        <v>442</v>
      </c>
      <c r="D62" s="1487" t="str">
        <f>D44</f>
        <v>Brita 1</v>
      </c>
      <c r="E62" s="1487"/>
      <c r="F62" s="1484" t="s">
        <v>391</v>
      </c>
      <c r="G62" s="1485">
        <f>ROUND(H44*1500/1000,5)</f>
        <v>8.7779999999999997E-2</v>
      </c>
      <c r="H62" s="1122" t="s">
        <v>508</v>
      </c>
      <c r="I62" s="1124">
        <v>5914359</v>
      </c>
      <c r="J62" s="1124">
        <v>5914374</v>
      </c>
      <c r="K62" s="1124">
        <v>5914389</v>
      </c>
      <c r="L62" s="1486">
        <f>ROUND(G62*($I$59*I63+$J$59*J63+$K$59*K63),4)</f>
        <v>0</v>
      </c>
    </row>
    <row r="63" spans="1:12" x14ac:dyDescent="0.2">
      <c r="A63" s="1480"/>
      <c r="B63" s="1481"/>
      <c r="C63" s="1482"/>
      <c r="D63" s="1487"/>
      <c r="E63" s="1487"/>
      <c r="F63" s="1484"/>
      <c r="G63" s="1485"/>
      <c r="H63" s="1122" t="s">
        <v>509</v>
      </c>
      <c r="I63" s="1123">
        <v>0.81</v>
      </c>
      <c r="J63" s="1123">
        <v>0.65</v>
      </c>
      <c r="K63" s="1123">
        <v>0.51</v>
      </c>
      <c r="L63" s="1486"/>
    </row>
    <row r="64" spans="1:12" x14ac:dyDescent="0.2">
      <c r="A64" s="1480" t="str">
        <f>A45</f>
        <v>DNIT –</v>
      </c>
      <c r="B64" s="1481" t="str">
        <f>B45</f>
        <v>M0424</v>
      </c>
      <c r="C64" s="1482" t="s">
        <v>442</v>
      </c>
      <c r="D64" s="1487" t="str">
        <f>D45</f>
        <v>Cimento Portland CP II - 32</v>
      </c>
      <c r="E64" s="1487"/>
      <c r="F64" s="1484" t="s">
        <v>415</v>
      </c>
      <c r="G64" s="1485">
        <f>ROUND(H45/1000,5)</f>
        <v>1.8759999999999999E-2</v>
      </c>
      <c r="H64" s="1122" t="s">
        <v>508</v>
      </c>
      <c r="I64" s="1124">
        <v>5914449</v>
      </c>
      <c r="J64" s="1124">
        <v>5914464</v>
      </c>
      <c r="K64" s="1124">
        <v>5914479</v>
      </c>
      <c r="L64" s="1486">
        <f>ROUND(G64*($I$59*I65+$J$59*J65+$K$59*K65),4)</f>
        <v>0</v>
      </c>
    </row>
    <row r="65" spans="1:12" x14ac:dyDescent="0.2">
      <c r="A65" s="1480"/>
      <c r="B65" s="1481"/>
      <c r="C65" s="1482"/>
      <c r="D65" s="1487"/>
      <c r="E65" s="1487"/>
      <c r="F65" s="1484"/>
      <c r="G65" s="1485"/>
      <c r="H65" s="1122" t="s">
        <v>509</v>
      </c>
      <c r="I65" s="1123">
        <v>0.82</v>
      </c>
      <c r="J65" s="1123">
        <v>0.66</v>
      </c>
      <c r="K65" s="1123">
        <v>0.52</v>
      </c>
      <c r="L65" s="1486"/>
    </row>
    <row r="66" spans="1:12" x14ac:dyDescent="0.2">
      <c r="A66" s="1480" t="str">
        <f>A46</f>
        <v>DNIT –</v>
      </c>
      <c r="B66" s="1481" t="str">
        <f>B46</f>
        <v>M0442</v>
      </c>
      <c r="C66" s="1482" t="s">
        <v>442</v>
      </c>
      <c r="D66" s="1487" t="str">
        <f>D46</f>
        <v>Compensado plastificado de 10 mm</v>
      </c>
      <c r="E66" s="1487"/>
      <c r="F66" s="1484" t="s">
        <v>381</v>
      </c>
      <c r="G66" s="1485">
        <f>ROUND(((H46*0.01)*700)/1000,5)</f>
        <v>8.26E-3</v>
      </c>
      <c r="H66" s="1122" t="s">
        <v>508</v>
      </c>
      <c r="I66" s="1124">
        <v>5914404</v>
      </c>
      <c r="J66" s="1124">
        <v>5914419</v>
      </c>
      <c r="K66" s="1124">
        <v>5914434</v>
      </c>
      <c r="L66" s="1486">
        <f>ROUND(G66*($I$59*I67+$J$59*J67+$K$59*K67),4)</f>
        <v>0</v>
      </c>
    </row>
    <row r="67" spans="1:12" x14ac:dyDescent="0.2">
      <c r="A67" s="1480"/>
      <c r="B67" s="1481"/>
      <c r="C67" s="1482"/>
      <c r="D67" s="1487"/>
      <c r="E67" s="1487"/>
      <c r="F67" s="1484"/>
      <c r="G67" s="1485"/>
      <c r="H67" s="1122" t="s">
        <v>509</v>
      </c>
      <c r="I67" s="1123">
        <v>1.1200000000000001</v>
      </c>
      <c r="J67" s="1123">
        <v>0.89</v>
      </c>
      <c r="K67" s="1123">
        <v>0.71</v>
      </c>
      <c r="L67" s="1486"/>
    </row>
    <row r="68" spans="1:12" x14ac:dyDescent="0.2">
      <c r="A68" s="1480" t="str">
        <f>A47</f>
        <v>SINAPI –</v>
      </c>
      <c r="B68" s="1481" t="str">
        <f>B47</f>
        <v>00020247</v>
      </c>
      <c r="C68" s="1482" t="s">
        <v>442</v>
      </c>
      <c r="D68" s="1487" t="str">
        <f>D47</f>
        <v>Prego de aço polido com cabeça 15 x 15 (1.1/4" x 13")</v>
      </c>
      <c r="E68" s="1487"/>
      <c r="F68" s="1484" t="s">
        <v>381</v>
      </c>
      <c r="G68" s="1485">
        <f>ROUND(H47/1000,5)</f>
        <v>2.0000000000000001E-4</v>
      </c>
      <c r="H68" s="1122" t="s">
        <v>508</v>
      </c>
      <c r="I68" s="1124">
        <v>5914404</v>
      </c>
      <c r="J68" s="1124">
        <v>5914419</v>
      </c>
      <c r="K68" s="1124">
        <v>5914434</v>
      </c>
      <c r="L68" s="1486">
        <f>ROUND(G68*($I$59*I69+$J$59*J69+$K$59*K69),4)</f>
        <v>0</v>
      </c>
    </row>
    <row r="69" spans="1:12" x14ac:dyDescent="0.2">
      <c r="A69" s="1480"/>
      <c r="B69" s="1481"/>
      <c r="C69" s="1482"/>
      <c r="D69" s="1487"/>
      <c r="E69" s="1487"/>
      <c r="F69" s="1484"/>
      <c r="G69" s="1485"/>
      <c r="H69" s="1122" t="s">
        <v>509</v>
      </c>
      <c r="I69" s="1123">
        <v>1.1200000000000001</v>
      </c>
      <c r="J69" s="1123">
        <v>0.89</v>
      </c>
      <c r="K69" s="1123">
        <v>0.71</v>
      </c>
      <c r="L69" s="1486"/>
    </row>
    <row r="70" spans="1:12" x14ac:dyDescent="0.2">
      <c r="A70" s="1480" t="str">
        <f>A48</f>
        <v>SINAPI –</v>
      </c>
      <c r="B70" s="1481" t="str">
        <f>B48</f>
        <v>00005061</v>
      </c>
      <c r="C70" s="1482" t="s">
        <v>442</v>
      </c>
      <c r="D70" s="1487" t="str">
        <f>D48</f>
        <v>Prego de aço polido com cabeça 18 x 27 (2.1/2" x 10")</v>
      </c>
      <c r="E70" s="1487"/>
      <c r="F70" s="1484" t="s">
        <v>381</v>
      </c>
      <c r="G70" s="1485">
        <f>ROUND(H48/1000,5)</f>
        <v>8.0000000000000004E-4</v>
      </c>
      <c r="H70" s="1122" t="s">
        <v>508</v>
      </c>
      <c r="I70" s="1124">
        <v>5914404</v>
      </c>
      <c r="J70" s="1124">
        <v>5914419</v>
      </c>
      <c r="K70" s="1124">
        <v>5914434</v>
      </c>
      <c r="L70" s="1486">
        <f>ROUND(G70*($I$59*I71+$J$59*J71+$K$59*K71),4)</f>
        <v>0</v>
      </c>
    </row>
    <row r="71" spans="1:12" x14ac:dyDescent="0.2">
      <c r="A71" s="1480"/>
      <c r="B71" s="1481"/>
      <c r="C71" s="1482"/>
      <c r="D71" s="1487"/>
      <c r="E71" s="1487"/>
      <c r="F71" s="1484"/>
      <c r="G71" s="1485"/>
      <c r="H71" s="1122" t="s">
        <v>509</v>
      </c>
      <c r="I71" s="1123">
        <v>1.1200000000000001</v>
      </c>
      <c r="J71" s="1123">
        <v>0.89</v>
      </c>
      <c r="K71" s="1123">
        <v>0.71</v>
      </c>
      <c r="L71" s="1486"/>
    </row>
    <row r="72" spans="1:12" x14ac:dyDescent="0.2">
      <c r="A72" s="1480" t="str">
        <f>A49</f>
        <v>SINAPI –</v>
      </c>
      <c r="B72" s="1481" t="str">
        <f>B49</f>
        <v>00004491</v>
      </c>
      <c r="C72" s="1482" t="s">
        <v>442</v>
      </c>
      <c r="D72" s="1487" t="str">
        <f>D49</f>
        <v>Peça de madeira nativa / regional *7,5 x 7,5* cm (3x3") não aparelhada (p/ forma)</v>
      </c>
      <c r="E72" s="1487"/>
      <c r="F72" s="1484" t="s">
        <v>381</v>
      </c>
      <c r="G72" s="1485">
        <f>ROUND((H49*0.075*0.075)*700/1000,5)</f>
        <v>1.729E-2</v>
      </c>
      <c r="H72" s="1122" t="s">
        <v>508</v>
      </c>
      <c r="I72" s="1124">
        <v>5914404</v>
      </c>
      <c r="J72" s="1124">
        <v>5914419</v>
      </c>
      <c r="K72" s="1124">
        <v>5914434</v>
      </c>
      <c r="L72" s="1486">
        <f>ROUND(G72*($I$59*I73+$J$59*J73+$K$59*K73),4)</f>
        <v>0</v>
      </c>
    </row>
    <row r="73" spans="1:12" x14ac:dyDescent="0.2">
      <c r="A73" s="1480"/>
      <c r="B73" s="1481"/>
      <c r="C73" s="1482"/>
      <c r="D73" s="1487"/>
      <c r="E73" s="1487"/>
      <c r="F73" s="1484"/>
      <c r="G73" s="1485"/>
      <c r="H73" s="1122" t="s">
        <v>509</v>
      </c>
      <c r="I73" s="1123">
        <v>1.1200000000000001</v>
      </c>
      <c r="J73" s="1123">
        <v>0.89</v>
      </c>
      <c r="K73" s="1123">
        <v>0.71</v>
      </c>
      <c r="L73" s="1486"/>
    </row>
    <row r="74" spans="1:12" x14ac:dyDescent="0.2">
      <c r="A74" s="1480" t="str">
        <f>A50</f>
        <v>DNIT –</v>
      </c>
      <c r="B74" s="1481" t="str">
        <f>B50</f>
        <v>M0289</v>
      </c>
      <c r="C74" s="1482" t="s">
        <v>442</v>
      </c>
      <c r="D74" s="1487" t="str">
        <f>D50</f>
        <v>Tábua de 2,5 x 15 cm</v>
      </c>
      <c r="E74" s="1487"/>
      <c r="F74" s="1484" t="s">
        <v>381</v>
      </c>
      <c r="G74" s="1485">
        <f>ROUND((H50*0.025*0.15)*700/1000,5)</f>
        <v>5.5399999999999998E-3</v>
      </c>
      <c r="H74" s="1122" t="s">
        <v>508</v>
      </c>
      <c r="I74" s="1124">
        <v>5914404</v>
      </c>
      <c r="J74" s="1124">
        <v>5914419</v>
      </c>
      <c r="K74" s="1124">
        <v>5914434</v>
      </c>
      <c r="L74" s="1486">
        <f>ROUND(G74*($I$59*I75+$J$59*J75+$K$59*K75),4)</f>
        <v>0</v>
      </c>
    </row>
    <row r="75" spans="1:12" x14ac:dyDescent="0.2">
      <c r="A75" s="1480"/>
      <c r="B75" s="1481"/>
      <c r="C75" s="1482"/>
      <c r="D75" s="1487"/>
      <c r="E75" s="1487"/>
      <c r="F75" s="1484"/>
      <c r="G75" s="1485"/>
      <c r="H75" s="1122" t="s">
        <v>509</v>
      </c>
      <c r="I75" s="1123">
        <v>1.1200000000000001</v>
      </c>
      <c r="J75" s="1123">
        <v>0.89</v>
      </c>
      <c r="K75" s="1123">
        <v>0.71</v>
      </c>
      <c r="L75" s="1486"/>
    </row>
    <row r="76" spans="1:12" x14ac:dyDescent="0.2">
      <c r="A76" s="1480" t="str">
        <f>A51</f>
        <v>SINAPI –</v>
      </c>
      <c r="B76" s="1481" t="str">
        <f>B51</f>
        <v>00004425</v>
      </c>
      <c r="C76" s="1482" t="s">
        <v>442</v>
      </c>
      <c r="D76" s="1487" t="str">
        <f>D51</f>
        <v>Viga de madeira não aparelhada 6 x 12 cm, maçaranduba, angelim ou equivalente da região</v>
      </c>
      <c r="E76" s="1487"/>
      <c r="F76" s="1484" t="s">
        <v>381</v>
      </c>
      <c r="G76" s="1485">
        <f>ROUND((H51*0.06*0.12)*700/1000,5)</f>
        <v>6.8999999999999999E-3</v>
      </c>
      <c r="H76" s="1122" t="s">
        <v>508</v>
      </c>
      <c r="I76" s="1124">
        <v>5914404</v>
      </c>
      <c r="J76" s="1124">
        <v>5914419</v>
      </c>
      <c r="K76" s="1124">
        <v>5914434</v>
      </c>
      <c r="L76" s="1486">
        <f>ROUND(G76*($I$59*I77+$J$59*J77+$K$59*K77),4)</f>
        <v>0</v>
      </c>
    </row>
    <row r="77" spans="1:12" x14ac:dyDescent="0.2">
      <c r="A77" s="1480"/>
      <c r="B77" s="1481"/>
      <c r="C77" s="1482"/>
      <c r="D77" s="1487"/>
      <c r="E77" s="1487"/>
      <c r="F77" s="1484"/>
      <c r="G77" s="1485"/>
      <c r="H77" s="1122" t="s">
        <v>509</v>
      </c>
      <c r="I77" s="1123">
        <v>1.1200000000000001</v>
      </c>
      <c r="J77" s="1123">
        <v>0.89</v>
      </c>
      <c r="K77" s="1123">
        <v>0.71</v>
      </c>
      <c r="L77" s="1486"/>
    </row>
    <row r="78" spans="1:12" x14ac:dyDescent="0.2">
      <c r="A78" s="1480" t="str">
        <f>A52</f>
        <v>SINAPI –</v>
      </c>
      <c r="B78" s="1481" t="str">
        <f>B52</f>
        <v>00007213</v>
      </c>
      <c r="C78" s="1482" t="s">
        <v>442</v>
      </c>
      <c r="D78" s="1487" t="str">
        <f>D52</f>
        <v>Telha de fibrocimento ondulada, E = 4 mm, de 2,44 x 0,50 m (sem amianto)</v>
      </c>
      <c r="E78" s="1487"/>
      <c r="F78" s="1484" t="s">
        <v>381</v>
      </c>
      <c r="G78" s="1485">
        <f>ROUND((H52/(2.44*0.5)*9)/1000,5)</f>
        <v>8.7799999999999996E-3</v>
      </c>
      <c r="H78" s="1122" t="s">
        <v>508</v>
      </c>
      <c r="I78" s="1124">
        <v>5914404</v>
      </c>
      <c r="J78" s="1124">
        <v>5914419</v>
      </c>
      <c r="K78" s="1124">
        <v>5914434</v>
      </c>
      <c r="L78" s="1486">
        <f>ROUND(G78*($I$59*I79+$J$59*J79+$K$59*K79),4)</f>
        <v>0</v>
      </c>
    </row>
    <row r="79" spans="1:12" x14ac:dyDescent="0.2">
      <c r="A79" s="1480"/>
      <c r="B79" s="1481"/>
      <c r="C79" s="1482"/>
      <c r="D79" s="1487"/>
      <c r="E79" s="1487"/>
      <c r="F79" s="1484"/>
      <c r="G79" s="1485"/>
      <c r="H79" s="1122" t="s">
        <v>509</v>
      </c>
      <c r="I79" s="1123">
        <v>1.1200000000000001</v>
      </c>
      <c r="J79" s="1123">
        <v>0.89</v>
      </c>
      <c r="K79" s="1123">
        <v>0.71</v>
      </c>
      <c r="L79" s="1486"/>
    </row>
    <row r="80" spans="1:12" x14ac:dyDescent="0.2">
      <c r="A80" s="1480" t="str">
        <f>A53</f>
        <v>SINAPI –</v>
      </c>
      <c r="B80" s="1481" t="str">
        <f>B53</f>
        <v>00039640</v>
      </c>
      <c r="C80" s="1482" t="s">
        <v>442</v>
      </c>
      <c r="D80" s="1483" t="str">
        <f>D53</f>
        <v>Cumeeira articulada (aba inferior) para telha ondulada de fibrocimento, E = 4 mm, aba *330* mm, comprimento 500 mm(sem amianto)</v>
      </c>
      <c r="E80" s="1483"/>
      <c r="F80" s="1484" t="s">
        <v>381</v>
      </c>
      <c r="G80" s="1485">
        <f>ROUND((H53*1.25)/1000,5)</f>
        <v>3.1E-4</v>
      </c>
      <c r="H80" s="1122" t="s">
        <v>508</v>
      </c>
      <c r="I80" s="1124">
        <v>5914404</v>
      </c>
      <c r="J80" s="1124">
        <v>5914419</v>
      </c>
      <c r="K80" s="1124">
        <v>5914434</v>
      </c>
      <c r="L80" s="1486">
        <f>ROUND(G80*($I$59*I81+$J$59*J81+$K$59*K81),4)</f>
        <v>0</v>
      </c>
    </row>
    <row r="81" spans="1:12" x14ac:dyDescent="0.2">
      <c r="A81" s="1480"/>
      <c r="B81" s="1481"/>
      <c r="C81" s="1482"/>
      <c r="D81" s="1483"/>
      <c r="E81" s="1483"/>
      <c r="F81" s="1484"/>
      <c r="G81" s="1485"/>
      <c r="H81" s="1122" t="s">
        <v>509</v>
      </c>
      <c r="I81" s="1123">
        <v>1.1200000000000001</v>
      </c>
      <c r="J81" s="1123">
        <v>0.89</v>
      </c>
      <c r="K81" s="1123">
        <v>0.71</v>
      </c>
      <c r="L81" s="1486"/>
    </row>
    <row r="82" spans="1:12" x14ac:dyDescent="0.2">
      <c r="A82" s="1454" t="s">
        <v>510</v>
      </c>
      <c r="B82" s="1454"/>
      <c r="C82" s="1454"/>
      <c r="D82" s="1454"/>
      <c r="E82" s="1454"/>
      <c r="F82" s="1454"/>
      <c r="G82" s="1454"/>
      <c r="H82" s="1454"/>
      <c r="I82" s="1454"/>
      <c r="J82" s="1454"/>
      <c r="K82" s="1454"/>
      <c r="L82" s="1025">
        <f>ROUND(SUM(L60:L81),4)</f>
        <v>0</v>
      </c>
    </row>
    <row r="83" spans="1:12" x14ac:dyDescent="0.2">
      <c r="A83" s="1049"/>
      <c r="B83" s="1049"/>
      <c r="C83" s="1049"/>
      <c r="D83" s="1049"/>
      <c r="E83" s="1049"/>
      <c r="F83" s="1049"/>
      <c r="G83" s="932"/>
      <c r="H83" s="1050"/>
      <c r="I83" s="1050"/>
      <c r="J83" s="1051"/>
      <c r="K83" s="1052"/>
      <c r="L83" s="1125"/>
    </row>
    <row r="84" spans="1:12" x14ac:dyDescent="0.2">
      <c r="A84" s="1454" t="s">
        <v>511</v>
      </c>
      <c r="B84" s="1454"/>
      <c r="C84" s="1454"/>
      <c r="D84" s="1454"/>
      <c r="E84" s="1454"/>
      <c r="F84" s="1454"/>
      <c r="G84" s="1454"/>
      <c r="H84" s="1454"/>
      <c r="I84" s="1454"/>
      <c r="J84" s="1454"/>
      <c r="K84" s="1454"/>
      <c r="L84" s="1025">
        <f>ROUND(L39+L55+L82,4)</f>
        <v>435.28230000000002</v>
      </c>
    </row>
    <row r="85" spans="1:12" x14ac:dyDescent="0.2">
      <c r="A85" s="1455" t="s">
        <v>461</v>
      </c>
      <c r="B85" s="1455"/>
      <c r="C85" s="1455"/>
      <c r="D85" s="1455"/>
      <c r="E85" s="1455"/>
      <c r="F85" s="1455"/>
      <c r="G85" s="1455"/>
      <c r="H85" s="1455"/>
      <c r="I85" s="1455"/>
      <c r="J85" s="1455"/>
      <c r="K85" s="1055">
        <v>0.25569999999999998</v>
      </c>
      <c r="L85" s="1056">
        <f>ROUND(L84*K85,4)</f>
        <v>111.3017</v>
      </c>
    </row>
    <row r="86" spans="1:12" x14ac:dyDescent="0.2">
      <c r="A86" s="1456" t="s">
        <v>512</v>
      </c>
      <c r="B86" s="1456"/>
      <c r="C86" s="1456"/>
      <c r="D86" s="1456"/>
      <c r="E86" s="1456"/>
      <c r="F86" s="1456"/>
      <c r="G86" s="1456"/>
      <c r="H86" s="1456"/>
      <c r="I86" s="1456"/>
      <c r="J86" s="1456"/>
      <c r="K86" s="1456"/>
      <c r="L86" s="1126">
        <f>ROUND(L84+L85,2)</f>
        <v>546.58000000000004</v>
      </c>
    </row>
    <row r="87" spans="1:12" x14ac:dyDescent="0.2">
      <c r="A87" s="930"/>
      <c r="B87" s="930"/>
      <c r="C87" s="930"/>
      <c r="D87" s="930"/>
      <c r="E87" s="930"/>
      <c r="F87" s="930"/>
      <c r="G87" s="930"/>
      <c r="H87" s="930"/>
      <c r="I87" s="930"/>
      <c r="J87" s="930"/>
      <c r="K87" s="930"/>
      <c r="L87" s="930"/>
    </row>
    <row r="88" spans="1:12" x14ac:dyDescent="0.2">
      <c r="A88" s="1059" t="s">
        <v>463</v>
      </c>
      <c r="B88" s="1060"/>
      <c r="C88" s="1127" t="s">
        <v>467</v>
      </c>
      <c r="D88" s="1478" t="s">
        <v>513</v>
      </c>
      <c r="E88" s="1478"/>
      <c r="F88" s="1478"/>
      <c r="G88" s="1478"/>
      <c r="H88" s="1478"/>
      <c r="I88" s="1478"/>
      <c r="J88" s="1478"/>
      <c r="K88" s="1478"/>
      <c r="L88" s="1478"/>
    </row>
    <row r="89" spans="1:12" x14ac:dyDescent="0.2">
      <c r="A89" s="1065"/>
      <c r="B89" s="1067"/>
      <c r="C89" s="1128" t="s">
        <v>469</v>
      </c>
      <c r="D89" s="1479" t="s">
        <v>514</v>
      </c>
      <c r="E89" s="1479"/>
      <c r="F89" s="1479"/>
      <c r="G89" s="1479"/>
      <c r="H89" s="1479"/>
      <c r="I89" s="1479"/>
      <c r="J89" s="1479"/>
      <c r="K89" s="1479"/>
      <c r="L89" s="1479"/>
    </row>
    <row r="90" spans="1:12" x14ac:dyDescent="0.2">
      <c r="A90" s="1065"/>
      <c r="B90" s="1067"/>
      <c r="C90" s="1128" t="s">
        <v>311</v>
      </c>
      <c r="D90" s="1479" t="s">
        <v>515</v>
      </c>
      <c r="E90" s="1479"/>
      <c r="F90" s="1479"/>
      <c r="G90" s="1479"/>
      <c r="H90" s="1479"/>
      <c r="I90" s="1479"/>
      <c r="J90" s="1479"/>
      <c r="K90" s="1479"/>
      <c r="L90" s="1479"/>
    </row>
    <row r="91" spans="1:12" x14ac:dyDescent="0.2">
      <c r="A91" s="1065"/>
      <c r="B91" s="1067"/>
      <c r="C91" s="1128" t="s">
        <v>472</v>
      </c>
      <c r="D91" s="1479" t="s">
        <v>516</v>
      </c>
      <c r="E91" s="1479"/>
      <c r="F91" s="1479"/>
      <c r="G91" s="1479"/>
      <c r="H91" s="1479"/>
      <c r="I91" s="1479"/>
      <c r="J91" s="1479"/>
      <c r="K91" s="1479"/>
      <c r="L91" s="1479"/>
    </row>
    <row r="92" spans="1:12" x14ac:dyDescent="0.2">
      <c r="A92" s="1071"/>
      <c r="B92" s="1129"/>
      <c r="C92" s="1073"/>
      <c r="D92" s="1073"/>
      <c r="E92" s="1073"/>
      <c r="F92" s="1073"/>
      <c r="G92" s="1073"/>
      <c r="H92" s="1073"/>
      <c r="I92" s="1073"/>
      <c r="J92" s="1073"/>
      <c r="K92" s="1073"/>
      <c r="L92" s="1074"/>
    </row>
  </sheetData>
  <mergeCells count="132">
    <mergeCell ref="A1:L1"/>
    <mergeCell ref="A2:L2"/>
    <mergeCell ref="A3:L3"/>
    <mergeCell ref="A4:L4"/>
    <mergeCell ref="A5:K5"/>
    <mergeCell ref="A6:K6"/>
    <mergeCell ref="A7:K7"/>
    <mergeCell ref="L7:L8"/>
    <mergeCell ref="A10:L10"/>
    <mergeCell ref="A12:D12"/>
    <mergeCell ref="A15:L16"/>
    <mergeCell ref="E18:J18"/>
    <mergeCell ref="A20:F21"/>
    <mergeCell ref="G20:G21"/>
    <mergeCell ref="H20:I20"/>
    <mergeCell ref="J20:K20"/>
    <mergeCell ref="D22:F22"/>
    <mergeCell ref="A24:K24"/>
    <mergeCell ref="A26:I27"/>
    <mergeCell ref="J26:J27"/>
    <mergeCell ref="K26:K27"/>
    <mergeCell ref="A32:K32"/>
    <mergeCell ref="A39:H39"/>
    <mergeCell ref="I39:K39"/>
    <mergeCell ref="A41:G42"/>
    <mergeCell ref="H41:I42"/>
    <mergeCell ref="J41:J42"/>
    <mergeCell ref="H43:I43"/>
    <mergeCell ref="H44:I44"/>
    <mergeCell ref="H45:I45"/>
    <mergeCell ref="H46:I46"/>
    <mergeCell ref="H47:I47"/>
    <mergeCell ref="H48:I48"/>
    <mergeCell ref="D49:G49"/>
    <mergeCell ref="H49:I49"/>
    <mergeCell ref="H50:I50"/>
    <mergeCell ref="D51:G51"/>
    <mergeCell ref="H51:I51"/>
    <mergeCell ref="H52:I52"/>
    <mergeCell ref="D53:G53"/>
    <mergeCell ref="H53:I53"/>
    <mergeCell ref="H54:I54"/>
    <mergeCell ref="A55:K55"/>
    <mergeCell ref="A57:F59"/>
    <mergeCell ref="G57:G59"/>
    <mergeCell ref="H57:K57"/>
    <mergeCell ref="L57:L59"/>
    <mergeCell ref="A60:A61"/>
    <mergeCell ref="B60:B61"/>
    <mergeCell ref="C60:C61"/>
    <mergeCell ref="D60:E61"/>
    <mergeCell ref="F60:F61"/>
    <mergeCell ref="G60:G61"/>
    <mergeCell ref="L60:L61"/>
    <mergeCell ref="A62:A63"/>
    <mergeCell ref="B62:B63"/>
    <mergeCell ref="C62:C63"/>
    <mergeCell ref="D62:E63"/>
    <mergeCell ref="F62:F63"/>
    <mergeCell ref="G62:G63"/>
    <mergeCell ref="L62:L63"/>
    <mergeCell ref="A64:A65"/>
    <mergeCell ref="B64:B65"/>
    <mergeCell ref="C64:C65"/>
    <mergeCell ref="D64:E65"/>
    <mergeCell ref="F64:F65"/>
    <mergeCell ref="G64:G65"/>
    <mergeCell ref="L64:L65"/>
    <mergeCell ref="A66:A67"/>
    <mergeCell ref="B66:B67"/>
    <mergeCell ref="C66:C67"/>
    <mergeCell ref="D66:E67"/>
    <mergeCell ref="F66:F67"/>
    <mergeCell ref="G66:G67"/>
    <mergeCell ref="L66:L67"/>
    <mergeCell ref="A68:A69"/>
    <mergeCell ref="B68:B69"/>
    <mergeCell ref="C68:C69"/>
    <mergeCell ref="D68:E69"/>
    <mergeCell ref="F68:F69"/>
    <mergeCell ref="G68:G69"/>
    <mergeCell ref="L68:L69"/>
    <mergeCell ref="A70:A71"/>
    <mergeCell ref="B70:B71"/>
    <mergeCell ref="C70:C71"/>
    <mergeCell ref="D70:E71"/>
    <mergeCell ref="F70:F71"/>
    <mergeCell ref="G70:G71"/>
    <mergeCell ref="L70:L71"/>
    <mergeCell ref="A72:A73"/>
    <mergeCell ref="B72:B73"/>
    <mergeCell ref="C72:C73"/>
    <mergeCell ref="D72:E73"/>
    <mergeCell ref="F72:F73"/>
    <mergeCell ref="G72:G73"/>
    <mergeCell ref="L72:L73"/>
    <mergeCell ref="A74:A75"/>
    <mergeCell ref="B74:B75"/>
    <mergeCell ref="C74:C75"/>
    <mergeCell ref="D74:E75"/>
    <mergeCell ref="F74:F75"/>
    <mergeCell ref="G74:G75"/>
    <mergeCell ref="L74:L75"/>
    <mergeCell ref="A76:A77"/>
    <mergeCell ref="B76:B77"/>
    <mergeCell ref="C76:C77"/>
    <mergeCell ref="D76:E77"/>
    <mergeCell ref="F76:F77"/>
    <mergeCell ref="G76:G77"/>
    <mergeCell ref="L76:L77"/>
    <mergeCell ref="A78:A79"/>
    <mergeCell ref="B78:B79"/>
    <mergeCell ref="C78:C79"/>
    <mergeCell ref="D78:E79"/>
    <mergeCell ref="F78:F79"/>
    <mergeCell ref="G78:G79"/>
    <mergeCell ref="L78:L79"/>
    <mergeCell ref="A85:J85"/>
    <mergeCell ref="A86:K86"/>
    <mergeCell ref="D88:L88"/>
    <mergeCell ref="D89:L89"/>
    <mergeCell ref="D90:L90"/>
    <mergeCell ref="D91:L91"/>
    <mergeCell ref="A80:A81"/>
    <mergeCell ref="B80:B81"/>
    <mergeCell ref="C80:C81"/>
    <mergeCell ref="D80:E81"/>
    <mergeCell ref="F80:F81"/>
    <mergeCell ref="G80:G81"/>
    <mergeCell ref="L80:L81"/>
    <mergeCell ref="A82:K82"/>
    <mergeCell ref="A84:K84"/>
  </mergeCells>
  <dataValidations count="1">
    <dataValidation allowBlank="1" showInputMessage="1" showErrorMessage="1" prompt="Clique duas vezes sobre o número do item para ser direcionado à Planilha Orçamentária." sqref="D18" xr:uid="{00000000-0002-0000-0800-000000000000}">
      <formula1>0</formula1>
      <formula2>0</formula2>
    </dataValidation>
  </dataValidations>
  <printOptions horizontalCentered="1" verticalCentered="1"/>
  <pageMargins left="0.51180555555555496" right="0.51180555555555496" top="0.78749999999999998" bottom="0.78749999999999998" header="0.51180555555555496" footer="0.51180555555555496"/>
  <pageSetup paperSize="9" scale="75"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9</TotalTime>
  <Application>Excel Android</Application>
  <DocSecurity>0</DocSecurity>
  <ScaleCrop>false</ScaleCrop>
  <HeadingPairs>
    <vt:vector size="2" baseType="variant">
      <vt:variant>
        <vt:lpstr>Planilhas</vt:lpstr>
      </vt:variant>
      <vt:variant>
        <vt:i4>34</vt:i4>
      </vt:variant>
    </vt:vector>
  </HeadingPairs>
  <TitlesOfParts>
    <vt:vector size="34" baseType="lpstr">
      <vt:lpstr>PLANILHA DE CAMPO</vt:lpstr>
      <vt:lpstr>NOTA DE SERVIÇO TERRAPLENAGEM</vt:lpstr>
      <vt:lpstr>PLANILHA ORÇAMENTÁRIA</vt:lpstr>
      <vt:lpstr>CFF</vt:lpstr>
      <vt:lpstr>LDI</vt:lpstr>
      <vt:lpstr>CPU EQUIPAMENTOS</vt:lpstr>
      <vt:lpstr>CPU TRANSPORTE</vt:lpstr>
      <vt:lpstr>1.1</vt:lpstr>
      <vt:lpstr>1.2</vt:lpstr>
      <vt:lpstr>1.3</vt:lpstr>
      <vt:lpstr>2.1</vt:lpstr>
      <vt:lpstr>2.2</vt:lpstr>
      <vt:lpstr>3.1</vt:lpstr>
      <vt:lpstr>4.1</vt:lpstr>
      <vt:lpstr>4.2</vt:lpstr>
      <vt:lpstr>5.1</vt:lpstr>
      <vt:lpstr>5.2</vt:lpstr>
      <vt:lpstr>5.3</vt:lpstr>
      <vt:lpstr>5.4</vt:lpstr>
      <vt:lpstr>5.5</vt:lpstr>
      <vt:lpstr>5.6</vt:lpstr>
      <vt:lpstr>5.7</vt:lpstr>
      <vt:lpstr>5.8</vt:lpstr>
      <vt:lpstr>6.1</vt:lpstr>
      <vt:lpstr>6.2</vt:lpstr>
      <vt:lpstr>6.3</vt:lpstr>
      <vt:lpstr>6.4</vt:lpstr>
      <vt:lpstr>6.5</vt:lpstr>
      <vt:lpstr>6.6</vt:lpstr>
      <vt:lpstr>7.1</vt:lpstr>
      <vt:lpstr>7.2</vt:lpstr>
      <vt:lpstr>7.3</vt:lpstr>
      <vt:lpstr>8.1</vt:lpstr>
      <vt:lpstr>8.2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mfvelasco</dc:creator>
  <cp:lastModifiedBy>mfvelasco</cp:lastModifiedBy>
  <cp:revision>1</cp:revision>
  <cp:lastPrinted>2021-09-22T13:05:28Z</cp:lastPrinted>
  <dcterms:created xsi:type="dcterms:W3CDTF">2021-08-27T18:58:46Z</dcterms:created>
  <dcterms:modified xsi:type="dcterms:W3CDTF">2021-09-22T13:06:07Z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